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customProperty8.bin" ContentType="application/vnd.openxmlformats-officedocument.spreadsheetml.customProperty"/>
  <Override PartName="/xl/drawings/drawing4.xml" ContentType="application/vnd.openxmlformats-officedocument.drawing+xml"/>
  <Override PartName="/xl/customProperty9.bin" ContentType="application/vnd.openxmlformats-officedocument.spreadsheetml.customProperty"/>
  <Override PartName="/xl/drawings/drawing5.xml" ContentType="application/vnd.openxmlformats-officedocument.drawing+xml"/>
  <Override PartName="/xl/customProperty10.bin" ContentType="application/vnd.openxmlformats-officedocument.spreadsheetml.customProperty"/>
  <Override PartName="/xl/drawings/drawing6.xml" ContentType="application/vnd.openxmlformats-officedocument.drawing+xml"/>
  <Override PartName="/xl/customProperty11.bin" ContentType="application/vnd.openxmlformats-officedocument.spreadsheetml.customProperty"/>
  <Override PartName="/xl/drawings/drawing7.xml" ContentType="application/vnd.openxmlformats-officedocument.drawing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omments2.xml" ContentType="application/vnd.openxmlformats-officedocument.spreadsheetml.comments+xml"/>
  <Override PartName="/xl/customProperty14.bin" ContentType="application/vnd.openxmlformats-officedocument.spreadsheetml.customProperty"/>
  <Override PartName="/xl/drawings/drawing8.xml" ContentType="application/vnd.openxmlformats-officedocument.drawing+xml"/>
  <Override PartName="/xl/customProperty1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D6BDDB0C-F5E5-49CF-8873-5A6DC749D218}" xr6:coauthVersionLast="47" xr6:coauthVersionMax="47" xr10:uidLastSave="{00000000-0000-0000-0000-000000000000}"/>
  <bookViews>
    <workbookView xWindow="-108" yWindow="-108" windowWidth="23256" windowHeight="12576" tabRatio="856" xr2:uid="{00000000-000D-0000-FFFF-FFFF00000000}"/>
  </bookViews>
  <sheets>
    <sheet name="B-24 2025" sheetId="36" r:id="rId1"/>
    <sheet name="Leases-lessee" sheetId="38" state="hidden" r:id="rId2"/>
    <sheet name="B-24 2021" sheetId="33" state="hidden" r:id="rId3"/>
    <sheet name="2021 TRIAL_BALANCE" sheetId="35" state="hidden" r:id="rId4"/>
    <sheet name="BALANCE_SHEET 2021" sheetId="34" state="hidden" r:id="rId5"/>
    <sheet name=" B-24 2019" sheetId="28" state="hidden" r:id="rId6"/>
    <sheet name="Leases" sheetId="29" state="hidden" r:id="rId7"/>
    <sheet name="2019 Pole Rental" sheetId="31" state="hidden" r:id="rId8"/>
    <sheet name="2020 Pole Rental" sheetId="32" state="hidden" r:id="rId9"/>
    <sheet name="IS 2023 7+5F" sheetId="39" r:id="rId10"/>
    <sheet name="IS 2024B" sheetId="40" r:id="rId11"/>
    <sheet name="2025 TB" sheetId="43" r:id="rId12"/>
    <sheet name="Leases-lessee (2)" sheetId="41" state="hidden" r:id="rId13"/>
    <sheet name="Pole Attachments" sheetId="42" r:id="rId14"/>
    <sheet name="Leases-lessee--3" sheetId="4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C" localSheetId="6">#REF!</definedName>
    <definedName name="\C" localSheetId="1">#REF!</definedName>
    <definedName name="\C" localSheetId="14">#REF!</definedName>
    <definedName name="\C">#REF!</definedName>
    <definedName name="\c1" localSheetId="6">#REF!</definedName>
    <definedName name="\c1">#REF!</definedName>
    <definedName name="\G" localSheetId="6">#REF!</definedName>
    <definedName name="\G">#REF!</definedName>
    <definedName name="\g1" localSheetId="6">#REF!</definedName>
    <definedName name="\g1">#REF!</definedName>
    <definedName name="\M" localSheetId="6">#REF!</definedName>
    <definedName name="\M">#REF!</definedName>
    <definedName name="\m1" localSheetId="6">#REF!</definedName>
    <definedName name="\m1">#REF!</definedName>
    <definedName name="\P" localSheetId="6">#REF!</definedName>
    <definedName name="\P" localSheetId="1">#REF!</definedName>
    <definedName name="\P">#REF!</definedName>
    <definedName name="\p1" localSheetId="6">#REF!</definedName>
    <definedName name="\p1">#REF!</definedName>
    <definedName name="\S" localSheetId="6">#REF!</definedName>
    <definedName name="\S">#REF!</definedName>
    <definedName name="\s1" localSheetId="6">#REF!</definedName>
    <definedName name="\s1">#REF!</definedName>
    <definedName name="\Z" localSheetId="1">#REF!</definedName>
    <definedName name="\Z">#REF!</definedName>
    <definedName name="_______APR40">#REF!</definedName>
    <definedName name="_______AUG40">#REF!</definedName>
    <definedName name="_______DEC40">#REF!</definedName>
    <definedName name="_______FEB40">#REF!</definedName>
    <definedName name="_______JAN40">#REF!</definedName>
    <definedName name="_______JUL40">#REF!</definedName>
    <definedName name="_______JUN40">#REF!</definedName>
    <definedName name="_______MAR40">"MARWHLFPC"</definedName>
    <definedName name="_______MAY40">#REF!</definedName>
    <definedName name="_______NOV40">#REF!</definedName>
    <definedName name="_______OCT40">#REF!</definedName>
    <definedName name="_______SEP40">#REF!</definedName>
    <definedName name="______APR40">#REF!</definedName>
    <definedName name="______AUG40">#REF!</definedName>
    <definedName name="______DEC40">#REF!</definedName>
    <definedName name="______FEB40">#REF!</definedName>
    <definedName name="______JAN40">#REF!</definedName>
    <definedName name="______JUL40">#REF!</definedName>
    <definedName name="______JUN40">#REF!</definedName>
    <definedName name="______MAR40">"MARWHLFPC"</definedName>
    <definedName name="______MAY40">#REF!</definedName>
    <definedName name="______NOV40">#REF!</definedName>
    <definedName name="______OCT40">#REF!</definedName>
    <definedName name="______SEP40">#REF!</definedName>
    <definedName name="_____APR40">#REF!</definedName>
    <definedName name="_____AUG40">#REF!</definedName>
    <definedName name="_____DEC40">#REF!</definedName>
    <definedName name="_____FEB40">#REF!</definedName>
    <definedName name="_____JAN40">#REF!</definedName>
    <definedName name="_____JUL40">#REF!</definedName>
    <definedName name="_____JUN40">#REF!</definedName>
    <definedName name="_____MAR40">"MARWHLFPC"</definedName>
    <definedName name="_____MAY40">#REF!</definedName>
    <definedName name="_____NOV40">#REF!</definedName>
    <definedName name="_____OCT40">#REF!</definedName>
    <definedName name="_____SEP40">#REF!</definedName>
    <definedName name="____APR40">#REF!</definedName>
    <definedName name="____AUG40">#REF!</definedName>
    <definedName name="____DEC40">#REF!</definedName>
    <definedName name="____FEB40">#REF!</definedName>
    <definedName name="____JAN40">#REF!</definedName>
    <definedName name="____JUL40">#REF!</definedName>
    <definedName name="____JUN40">#REF!</definedName>
    <definedName name="____MAR40">"MARWHLFPC"</definedName>
    <definedName name="____MAY40">#REF!</definedName>
    <definedName name="____NOV40">#REF!</definedName>
    <definedName name="____OCT40">#REF!</definedName>
    <definedName name="____SEP40">#REF!</definedName>
    <definedName name="___APR40">#REF!</definedName>
    <definedName name="___AUG40">#REF!</definedName>
    <definedName name="___DEC40">#REF!</definedName>
    <definedName name="___FEB40">#REF!</definedName>
    <definedName name="___JAN40">#REF!</definedName>
    <definedName name="___JUL40">#REF!</definedName>
    <definedName name="___JUN40">#REF!</definedName>
    <definedName name="___MAR40">"MARWHLFPC"</definedName>
    <definedName name="___MAY40">#REF!</definedName>
    <definedName name="___NOV40">#REF!</definedName>
    <definedName name="___OCT40">#REF!</definedName>
    <definedName name="___SEP40">#REF!</definedName>
    <definedName name="__123Graph_A" hidden="1">[1]D_FOS_BS2!$E$12:$E$12</definedName>
    <definedName name="__123Graph_B" hidden="1">[1]D_FOS_BS2!$F$12:$F$12</definedName>
    <definedName name="__123Graph_C" hidden="1">[1]D_FOS_BS2!$G$12:$G$12</definedName>
    <definedName name="__123Graph_D" hidden="1">[1]D_FOS_BS2!$H$12:$H$12</definedName>
    <definedName name="__APR40" localSheetId="1">#REF!</definedName>
    <definedName name="__APR40" localSheetId="14">#REF!</definedName>
    <definedName name="__APR40">#REF!</definedName>
    <definedName name="__AUG40" localSheetId="1">#REF!</definedName>
    <definedName name="__AUG40">#REF!</definedName>
    <definedName name="__DEC40" localSheetId="1">#REF!</definedName>
    <definedName name="__DEC40">#REF!</definedName>
    <definedName name="__FEB40">#REF!</definedName>
    <definedName name="__FPMExcelClient_CellBasedFunctionStatus" localSheetId="3" hidden="1">"2_1_2_2_2_2"</definedName>
    <definedName name="__FPMExcelClient_CellBasedFunctionStatus" localSheetId="4" hidden="1">"2_1_2_2_2_2"</definedName>
    <definedName name="__FPMExcelClient_Connection" localSheetId="3">"_FPM_BPCNW10_[https://selfservice.tecoenergy.com/sap/bpc/]_[TECO_FINANCE]_[TECO_PLANNING]_[false]_[false]"</definedName>
    <definedName name="__FPMExcelClient_Connection" localSheetId="4">"_FPM_BPCNW10_[https://selfservice.tecoenergy.com/sap/bpc/]_[TECO_FINANCE]_[TECO_PLANNING]_[false]_[false]"</definedName>
    <definedName name="__FPMExcelClient_RefreshTime" localSheetId="3">636605521582434000</definedName>
    <definedName name="__FPMExcelClient_RefreshTime" localSheetId="4">636607053343237000</definedName>
    <definedName name="__JAN40" localSheetId="1">#REF!</definedName>
    <definedName name="__JAN40" localSheetId="14">#REF!</definedName>
    <definedName name="__JAN40">#REF!</definedName>
    <definedName name="__JUL40" localSheetId="1">#REF!</definedName>
    <definedName name="__JUL40">#REF!</definedName>
    <definedName name="__JUN40" localSheetId="1">#REF!</definedName>
    <definedName name="__JUN40">#REF!</definedName>
    <definedName name="__MAR40">"MARWHLFPC"</definedName>
    <definedName name="__MAY40">#REF!</definedName>
    <definedName name="__NOV40">#REF!</definedName>
    <definedName name="__OCT40">#REF!</definedName>
    <definedName name="__SEP40">#REF!</definedName>
    <definedName name="_1999GOAL7">#REF!</definedName>
    <definedName name="_525_LAST_PRINC" localSheetId="6">#REF!</definedName>
    <definedName name="_525_LAST_PRINC">#REF!</definedName>
    <definedName name="_99_03GOAL">#REF!</definedName>
    <definedName name="_APR40">#REF!</definedName>
    <definedName name="_AUG40">#REF!</definedName>
    <definedName name="_DEC40">#REF!</definedName>
    <definedName name="_FEB40">#REF!</definedName>
    <definedName name="_JAN40">#REF!</definedName>
    <definedName name="_JUL40">#REF!</definedName>
    <definedName name="_JUN40">#REF!</definedName>
    <definedName name="_MAR40">"MARWHLFPC"</definedName>
    <definedName name="_MAY40">#REF!</definedName>
    <definedName name="_NOV40">#REF!</definedName>
    <definedName name="_OCT40">#REF!</definedName>
    <definedName name="_SEP40">#REF!</definedName>
    <definedName name="a">[2]Sheet1!$B$10</definedName>
    <definedName name="ACCTG_BOTH" localSheetId="1">#REF!</definedName>
    <definedName name="ACCTG_BOTH" localSheetId="14">#REF!</definedName>
    <definedName name="ACCTG_BOTH">#REF!</definedName>
    <definedName name="ALLOWALOC" localSheetId="1">#REF!</definedName>
    <definedName name="ALLOWALOC" localSheetId="14">#REF!</definedName>
    <definedName name="ALLOWALOC">#REF!</definedName>
    <definedName name="ALLOWBB4HPP" localSheetId="1">#REF!</definedName>
    <definedName name="ALLOWBB4HPP" localSheetId="14">#REF!</definedName>
    <definedName name="ALLOWBB4HPP">#REF!</definedName>
    <definedName name="Apr">#REF!</definedName>
    <definedName name="APRJE">'[3]JE FORMS'!#REF!</definedName>
    <definedName name="APRJE2">'[3]JE FORMS'!#REF!</definedName>
    <definedName name="APRJE3">'[3]JE FORMS'!#REF!</definedName>
    <definedName name="APRRET" localSheetId="1">#REF!</definedName>
    <definedName name="APRRET" localSheetId="14">#REF!</definedName>
    <definedName name="APRRET">#REF!</definedName>
    <definedName name="APRWHLFPC" localSheetId="1">#REF!</definedName>
    <definedName name="APRWHLFPC" localSheetId="14">#REF!</definedName>
    <definedName name="APRWHLFPC">#REF!</definedName>
    <definedName name="APRWHLFTM" localSheetId="1">#REF!</definedName>
    <definedName name="APRWHLFTM" localSheetId="14">#REF!</definedName>
    <definedName name="APRWHLFTM">#REF!</definedName>
    <definedName name="APRWHLSTC">#REF!</definedName>
    <definedName name="APRWHLWAU">#REF!</definedName>
    <definedName name="AS2DocOpenMode" hidden="1">"AS2DocumentEdit"</definedName>
    <definedName name="ASSET_SHEET" localSheetId="6">#REF!</definedName>
    <definedName name="ASSET_SHEET">#REF!</definedName>
    <definedName name="AUGFPC" localSheetId="1">#REF!</definedName>
    <definedName name="AUGFPC">#REF!</definedName>
    <definedName name="AUGJE" localSheetId="1">'[3]JE FORMS'!#REF!</definedName>
    <definedName name="AUGJE" localSheetId="14">'[3]JE FORMS'!#REF!</definedName>
    <definedName name="AUGJE">'[3]JE FORMS'!#REF!</definedName>
    <definedName name="AUGJE2" localSheetId="1">'[3]JE FORMS'!#REF!</definedName>
    <definedName name="AUGJE2" localSheetId="14">'[3]JE FORMS'!#REF!</definedName>
    <definedName name="AUGJE2">'[3]JE FORMS'!#REF!</definedName>
    <definedName name="AUGJE3" localSheetId="1">'[3]JE FORMS'!#REF!</definedName>
    <definedName name="AUGJE3" localSheetId="14">'[3]JE FORMS'!#REF!</definedName>
    <definedName name="AUGJE3">'[3]JE FORMS'!#REF!</definedName>
    <definedName name="AUGRET" localSheetId="1">#REF!</definedName>
    <definedName name="AUGRET" localSheetId="14">#REF!</definedName>
    <definedName name="AUGRET">#REF!</definedName>
    <definedName name="AUGWHLFPC" localSheetId="1">#REF!</definedName>
    <definedName name="AUGWHLFPC" localSheetId="14">#REF!</definedName>
    <definedName name="AUGWHLFPC">#REF!</definedName>
    <definedName name="AUGWHLFTM" localSheetId="1">#REF!</definedName>
    <definedName name="AUGWHLFTM" localSheetId="14">#REF!</definedName>
    <definedName name="AUGWHLFTM">#REF!</definedName>
    <definedName name="AUGWHLSTC">#REF!</definedName>
    <definedName name="AUGWHLWAU">#REF!</definedName>
    <definedName name="BalDatData">#REF!</definedName>
    <definedName name="BegMonth">#REF!</definedName>
    <definedName name="BLRIV_AVE_RATE" localSheetId="6">#REF!</definedName>
    <definedName name="BLRIV_AVE_RATE">#REF!</definedName>
    <definedName name="BLRIV_LAST_CUR" localSheetId="6">#REF!</definedName>
    <definedName name="BLRIV_LAST_CUR">#REF!</definedName>
    <definedName name="BLRIV_LAST_PRIN" localSheetId="6">#REF!</definedName>
    <definedName name="BLRIV_LAST_PRIN">#REF!</definedName>
    <definedName name="BLRIV_REPT" localSheetId="6">#REF!</definedName>
    <definedName name="BLRIV_REPT">#REF!</definedName>
    <definedName name="BLRIV_THIS_CUR" localSheetId="6">#REF!</definedName>
    <definedName name="BLRIV_THIS_CUR">#REF!</definedName>
    <definedName name="BLRIV_THIS_PRIN" localSheetId="6">#REF!</definedName>
    <definedName name="BLRIV_THIS_PRIN">#REF!</definedName>
    <definedName name="Book" localSheetId="6">'[4]Original Sheet'!#REF!</definedName>
    <definedName name="Book">'[4]Original Sheet'!#REF!</definedName>
    <definedName name="bought" localSheetId="6">'[4]Original Sheet'!#REF!</definedName>
    <definedName name="bought">'[4]Original Sheet'!#REF!</definedName>
    <definedName name="BS_ACC_NUM" localSheetId="1">#REF!</definedName>
    <definedName name="BS_ACC_NUM" localSheetId="14">#REF!</definedName>
    <definedName name="BS_ACC_NUM">#REF!</definedName>
    <definedName name="BSACCTS" localSheetId="1">#REF!</definedName>
    <definedName name="BSACCTS">#REF!</definedName>
    <definedName name="BSDOWNLOAD" localSheetId="1">#REF!</definedName>
    <definedName name="BSDOWNLOAD">#REF!</definedName>
    <definedName name="BSFERC">#REF!</definedName>
    <definedName name="BSHEADER">#REF!</definedName>
    <definedName name="BUDGETYEAR">#REF!</definedName>
    <definedName name="CAPTRUEUP">#REF!</definedName>
    <definedName name="CASHFLS" localSheetId="1">'[5]CASH FLOWS BKUP'!#REF!</definedName>
    <definedName name="CASHFLS" localSheetId="14">'[5]CASH FLOWS BKUP'!#REF!</definedName>
    <definedName name="CASHFLS">'[5]CASH FLOWS BKUP'!#REF!</definedName>
    <definedName name="CONTROL_ENTRY" localSheetId="6">#REF!</definedName>
    <definedName name="CONTROL_ENTRY">#REF!</definedName>
    <definedName name="CUR_YMD" localSheetId="6">#REF!</definedName>
    <definedName name="CUR_YMD">#REF!</definedName>
    <definedName name="DECJE" localSheetId="1">'[3]JE FORMS'!#REF!</definedName>
    <definedName name="DECJE" localSheetId="14">'[3]JE FORMS'!#REF!</definedName>
    <definedName name="DECJE">'[3]JE FORMS'!#REF!</definedName>
    <definedName name="DECJE2" localSheetId="1">'[3]JE FORMS'!#REF!</definedName>
    <definedName name="DECJE2" localSheetId="14">'[3]JE FORMS'!#REF!</definedName>
    <definedName name="DECJE2">'[3]JE FORMS'!#REF!</definedName>
    <definedName name="DECJE3" localSheetId="1">'[3]JE FORMS'!#REF!</definedName>
    <definedName name="DECJE3" localSheetId="14">'[3]JE FORMS'!#REF!</definedName>
    <definedName name="DECJE3">'[3]JE FORMS'!#REF!</definedName>
    <definedName name="DECRET" localSheetId="1">#REF!</definedName>
    <definedName name="DECRET" localSheetId="14">#REF!</definedName>
    <definedName name="DECRET">#REF!</definedName>
    <definedName name="DECWHLFPC" localSheetId="1">#REF!</definedName>
    <definedName name="DECWHLFPC" localSheetId="14">#REF!</definedName>
    <definedName name="DECWHLFPC">#REF!</definedName>
    <definedName name="DECWHLFTM" localSheetId="1">#REF!</definedName>
    <definedName name="DECWHLFTM" localSheetId="14">#REF!</definedName>
    <definedName name="DECWHLFTM">#REF!</definedName>
    <definedName name="DECWHLSTC">#REF!</definedName>
    <definedName name="DECWHLWAU">#REF!</definedName>
    <definedName name="DocketNum">#REF!</definedName>
    <definedName name="eff_coup" localSheetId="6">'[4]Original Sheet'!#REF!</definedName>
    <definedName name="eff_coup">'[4]Original Sheet'!#REF!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V__EVCOM_OPTIONS__" hidden="1">10</definedName>
    <definedName name="factor" localSheetId="6">'[4]Original Sheet'!#REF!</definedName>
    <definedName name="factor">'[4]Original Sheet'!#REF!</definedName>
    <definedName name="FEBJE" localSheetId="1">'[3]JE FORMS'!#REF!</definedName>
    <definedName name="FEBJE" localSheetId="14">'[3]JE FORMS'!#REF!</definedName>
    <definedName name="FEBJE">'[3]JE FORMS'!#REF!</definedName>
    <definedName name="FEBJE2" localSheetId="1">'[3]JE FORMS'!#REF!</definedName>
    <definedName name="FEBJE2" localSheetId="14">'[3]JE FORMS'!#REF!</definedName>
    <definedName name="FEBJE2">'[3]JE FORMS'!#REF!</definedName>
    <definedName name="FEBJE3" localSheetId="1">'[3]JE FORMS'!#REF!</definedName>
    <definedName name="FEBJE3" localSheetId="14">'[3]JE FORMS'!#REF!</definedName>
    <definedName name="FEBJE3">'[3]JE FORMS'!#REF!</definedName>
    <definedName name="FEBRET" localSheetId="1">#REF!</definedName>
    <definedName name="FEBRET" localSheetId="14">#REF!</definedName>
    <definedName name="FEBRET">#REF!</definedName>
    <definedName name="FEBWHLFPC" localSheetId="1">#REF!</definedName>
    <definedName name="FEBWHLFPC" localSheetId="14">#REF!</definedName>
    <definedName name="FEBWHLFPC">#REF!</definedName>
    <definedName name="FEBWHLFTM" localSheetId="1">#REF!</definedName>
    <definedName name="FEBWHLFTM" localSheetId="14">#REF!</definedName>
    <definedName name="FEBWHLFTM">#REF!</definedName>
    <definedName name="FEBWHLSTC">#REF!</definedName>
    <definedName name="FEBWHLWAU">#REF!</definedName>
    <definedName name="FIX_AVE_RATE" localSheetId="6">#REF!</definedName>
    <definedName name="FIX_AVE_RATE">#REF!</definedName>
    <definedName name="FIX_NOTES" localSheetId="6">#REF!</definedName>
    <definedName name="FIX_NOTES">#REF!</definedName>
    <definedName name="funds" localSheetId="6">'[4]Original Sheet'!#REF!</definedName>
    <definedName name="funds">'[4]Original Sheet'!#REF!</definedName>
    <definedName name="GOAL7" localSheetId="1">#REF!</definedName>
    <definedName name="GOAL7" localSheetId="14">#REF!</definedName>
    <definedName name="GOAL7">#REF!</definedName>
    <definedName name="GOAL7ACT" localSheetId="1">#REF!</definedName>
    <definedName name="GOAL7ACT">#REF!</definedName>
    <definedName name="GOAL7BUD" localSheetId="1">#REF!</definedName>
    <definedName name="GOAL7BUD">#REF!</definedName>
    <definedName name="header1">[6]Input!$A$1</definedName>
    <definedName name="header2">[6]Input!$A$2</definedName>
    <definedName name="hills_cnty_sales_tax_2005" localSheetId="1">'[7]sales tax'!$AA$10</definedName>
    <definedName name="hills_cnty_sales_tax_2005" localSheetId="14">'[7]sales tax'!$AA$10</definedName>
    <definedName name="hills_cnty_sales_tax_2005">'[8]sales tax'!$X$9</definedName>
    <definedName name="hills_cnty_surtax_2005" localSheetId="1">'[7]sales tax'!$AA$11</definedName>
    <definedName name="hills_cnty_surtax_2005" localSheetId="14">'[7]sales tax'!$AA$11</definedName>
    <definedName name="hills_cnty_surtax_2005">'[8]sales tax'!$X$10</definedName>
    <definedName name="hills_cnty_total_sales_rate_2005" localSheetId="1">'[7]sales tax'!$AA$12</definedName>
    <definedName name="hills_cnty_total_sales_rate_2005" localSheetId="14">'[7]sales tax'!$AA$12</definedName>
    <definedName name="hills_cnty_total_sales_rate_2005">'[8]sales tax'!$X$11</definedName>
    <definedName name="HistYear">#REF!</definedName>
    <definedName name="IGS_REPORT" localSheetId="6">#REF!</definedName>
    <definedName name="IGS_REPORT">#REF!</definedName>
    <definedName name="IGSFILEOUT" localSheetId="6">#REF!</definedName>
    <definedName name="IGSFILEOUT">#REF!</definedName>
    <definedName name="INTERESTRECLASS" localSheetId="1">#REF!</definedName>
    <definedName name="INTERESTRECLASS" localSheetId="14">#REF!</definedName>
    <definedName name="INTERESTRECLASS">#REF!</definedName>
    <definedName name="INTR_SCHED_HEAD" localSheetId="6">#REF!</definedName>
    <definedName name="INTR_SCHED_HEAD">#REF!</definedName>
    <definedName name="INTR_SCHED_LIST" localSheetId="6">#REF!</definedName>
    <definedName name="INTR_SCHED_LIST">#REF!</definedName>
    <definedName name="JANJE" localSheetId="1">'[3]JE FORMS'!#REF!</definedName>
    <definedName name="JANJE" localSheetId="14">'[3]JE FORMS'!#REF!</definedName>
    <definedName name="JANJE">'[3]JE FORMS'!#REF!</definedName>
    <definedName name="JANJE2" localSheetId="1">'[3]JE FORMS'!#REF!</definedName>
    <definedName name="JANJE2" localSheetId="14">'[3]JE FORMS'!#REF!</definedName>
    <definedName name="JANJE2">'[3]JE FORMS'!#REF!</definedName>
    <definedName name="JANJE3">'[3]JE FORMS'!#REF!</definedName>
    <definedName name="JANRET" localSheetId="1">#REF!</definedName>
    <definedName name="JANRET" localSheetId="14">#REF!</definedName>
    <definedName name="JANRET">#REF!</definedName>
    <definedName name="JANWHLFPC" localSheetId="1">#REF!</definedName>
    <definedName name="JANWHLFPC" localSheetId="14">#REF!</definedName>
    <definedName name="JANWHLFPC">#REF!</definedName>
    <definedName name="JANWHLFTM" localSheetId="1">#REF!</definedName>
    <definedName name="JANWHLFTM" localSheetId="14">#REF!</definedName>
    <definedName name="JANWHLFTM">#REF!</definedName>
    <definedName name="JANWHLSTC">#REF!</definedName>
    <definedName name="JANWHLWAU">#REF!</definedName>
    <definedName name="JULJE">'[3]JE FORMS'!#REF!</definedName>
    <definedName name="JULJE2">'[3]JE FORMS'!#REF!</definedName>
    <definedName name="JULJE3">'[3]JE FORMS'!#REF!</definedName>
    <definedName name="JULRET" localSheetId="1">#REF!</definedName>
    <definedName name="JULRET" localSheetId="14">#REF!</definedName>
    <definedName name="JULRET">#REF!</definedName>
    <definedName name="JULWHLFPC" localSheetId="1">#REF!</definedName>
    <definedName name="JULWHLFPC" localSheetId="14">#REF!</definedName>
    <definedName name="JULWHLFPC">#REF!</definedName>
    <definedName name="JULWHLFTM" localSheetId="1">#REF!</definedName>
    <definedName name="JULWHLFTM" localSheetId="14">#REF!</definedName>
    <definedName name="JULWHLFTM">#REF!</definedName>
    <definedName name="JULWHLSTC">#REF!</definedName>
    <definedName name="JULWHLWAU">#REF!</definedName>
    <definedName name="JUNJE">'[3]JE FORMS'!#REF!</definedName>
    <definedName name="JUNJE2">'[3]JE FORMS'!#REF!</definedName>
    <definedName name="JUNJE3">'[3]JE FORMS'!#REF!</definedName>
    <definedName name="JUNPG2" localSheetId="1">#REF!</definedName>
    <definedName name="JUNPG2" localSheetId="14">#REF!</definedName>
    <definedName name="JUNPG2">#REF!</definedName>
    <definedName name="JUNREDO1" localSheetId="1">#REF!</definedName>
    <definedName name="JUNREDO1" localSheetId="14">#REF!</definedName>
    <definedName name="JUNREDO1">#REF!</definedName>
    <definedName name="JUNRET" localSheetId="1">#REF!</definedName>
    <definedName name="JUNRET" localSheetId="14">#REF!</definedName>
    <definedName name="JUNRET">#REF!</definedName>
    <definedName name="JUNWHLFPC">#REF!</definedName>
    <definedName name="JUNWHLFTM">#REF!</definedName>
    <definedName name="JUNWHLSTC">#REF!</definedName>
    <definedName name="JUNWHLWAU">#REF!</definedName>
    <definedName name="LAST_YMD" localSheetId="6">#REF!</definedName>
    <definedName name="LAST_YMD">#REF!</definedName>
    <definedName name="LTD_SCHED_HEAD" localSheetId="6">#REF!</definedName>
    <definedName name="LTD_SCHED_HEAD">#REF!</definedName>
    <definedName name="LTD_SCHED_LIST" localSheetId="6">#REF!</definedName>
    <definedName name="LTD_SCHED_LIST">#REF!</definedName>
    <definedName name="MARJE">'[3]JE FORMS'!#REF!</definedName>
    <definedName name="MARJE2">'[3]JE FORMS'!#REF!</definedName>
    <definedName name="MARJE3">'[3]JE FORMS'!#REF!</definedName>
    <definedName name="MARJE4">'[3]JE FORMS'!#REF!</definedName>
    <definedName name="MARJEADJ">'[3]JE FORMS'!#REF!</definedName>
    <definedName name="MARRET" localSheetId="1">#REF!</definedName>
    <definedName name="MARRET" localSheetId="14">#REF!</definedName>
    <definedName name="MARRET">#REF!</definedName>
    <definedName name="MARWHLFPC" localSheetId="1">#REF!</definedName>
    <definedName name="MARWHLFPC" localSheetId="14">#REF!</definedName>
    <definedName name="MARWHLFPC">#REF!</definedName>
    <definedName name="MARWHLFTM" localSheetId="1">#REF!</definedName>
    <definedName name="MARWHLFTM" localSheetId="14">#REF!</definedName>
    <definedName name="MARWHLFTM">#REF!</definedName>
    <definedName name="MARWHLSTC">#REF!</definedName>
    <definedName name="MARWHLWAU">#REF!</definedName>
    <definedName name="May">#REF!</definedName>
    <definedName name="MAYJE">'[3]JE FORMS'!#REF!</definedName>
    <definedName name="MAYJE2">'[3]JE FORMS'!#REF!</definedName>
    <definedName name="MAYJE3">'[3]JE FORMS'!#REF!</definedName>
    <definedName name="MAYJE4">'[3]JE FORMS'!#REF!</definedName>
    <definedName name="MAYREDO1" localSheetId="1">#REF!</definedName>
    <definedName name="MAYREDO1" localSheetId="14">#REF!</definedName>
    <definedName name="MAYREDO1">#REF!</definedName>
    <definedName name="MAYRET" localSheetId="1">#REF!</definedName>
    <definedName name="MAYRET" localSheetId="14">#REF!</definedName>
    <definedName name="MAYRET">#REF!</definedName>
    <definedName name="MAYWHLFPC" localSheetId="1">#REF!</definedName>
    <definedName name="MAYWHLFPC" localSheetId="14">#REF!</definedName>
    <definedName name="MAYWHLFPC">#REF!</definedName>
    <definedName name="MAYWHLFTM">#REF!</definedName>
    <definedName name="MAYWHLSTC">#REF!</definedName>
    <definedName name="MAYWHLWAU">#REF!</definedName>
    <definedName name="MISC_DATA" localSheetId="6">#REF!</definedName>
    <definedName name="MISC_DATA">#REF!</definedName>
    <definedName name="Month_Summary">#REF!</definedName>
    <definedName name="MONTHLIT" localSheetId="6">#REF!</definedName>
    <definedName name="MONTHLIT">#REF!</definedName>
    <definedName name="MONTHNR" localSheetId="6">#REF!</definedName>
    <definedName name="MONTHNR">#REF!</definedName>
    <definedName name="moody">[6]Input!$C$8</definedName>
    <definedName name="MOR200_LAST_CUR" localSheetId="6">#REF!</definedName>
    <definedName name="MOR200_LAST_CUR">#REF!</definedName>
    <definedName name="MOR200_LAST_PR" localSheetId="6">#REF!</definedName>
    <definedName name="MOR200_LAST_PR">#REF!</definedName>
    <definedName name="MOR200_THIS_CUR" localSheetId="6">#REF!</definedName>
    <definedName name="MOR200_THIS_CUR">#REF!</definedName>
    <definedName name="MOR200_THIS_PR" localSheetId="6">#REF!</definedName>
    <definedName name="MOR200_THIS_PR">#REF!</definedName>
    <definedName name="MOR250_LAST_CUR" localSheetId="6">#REF!</definedName>
    <definedName name="MOR250_LAST_CUR">#REF!</definedName>
    <definedName name="MOR250_LAST_PRI" localSheetId="6">#REF!</definedName>
    <definedName name="MOR250_LAST_PRI">#REF!</definedName>
    <definedName name="MOR250_THIS_CUR" localSheetId="6">#REF!</definedName>
    <definedName name="MOR250_THIS_CUR">#REF!</definedName>
    <definedName name="MOR250_THIS_PRI" localSheetId="6">#REF!</definedName>
    <definedName name="MOR250_THIS_PRI">#REF!</definedName>
    <definedName name="MORT_BOND_LIST" localSheetId="6">#REF!</definedName>
    <definedName name="MORT_BOND_LIST">#REF!</definedName>
    <definedName name="NONREC">#REF!</definedName>
    <definedName name="NOTES_REPORT" localSheetId="6">#REF!</definedName>
    <definedName name="NOTES_REPORT">#REF!</definedName>
    <definedName name="NOVJE">'[3]JE FORMS'!#REF!</definedName>
    <definedName name="NOVJE2">'[3]JE FORMS'!#REF!</definedName>
    <definedName name="NOVJE3">'[3]JE FORMS'!#REF!</definedName>
    <definedName name="NOVRET" localSheetId="1">#REF!</definedName>
    <definedName name="NOVRET" localSheetId="14">#REF!</definedName>
    <definedName name="NOVRET">#REF!</definedName>
    <definedName name="NOVWHLFPC" localSheetId="1">#REF!</definedName>
    <definedName name="NOVWHLFPC" localSheetId="14">#REF!</definedName>
    <definedName name="NOVWHLFPC">#REF!</definedName>
    <definedName name="NOVWHLFTM" localSheetId="1">#REF!</definedName>
    <definedName name="NOVWHLFTM" localSheetId="14">#REF!</definedName>
    <definedName name="NOVWHLFTM">#REF!</definedName>
    <definedName name="NOVWHLSTC">#REF!</definedName>
    <definedName name="NOVWHLWAU">#REF!</definedName>
    <definedName name="NvsASD">"V1999-01-31"</definedName>
    <definedName name="NvsAutoDrillOk">"VN"</definedName>
    <definedName name="NvsElapsedTime">0.000406134255172219</definedName>
    <definedName name="NvsEndTime">36203.3190241898</definedName>
    <definedName name="NvsInstSpec">"%"</definedName>
    <definedName name="NvsLayoutType">"M3"</definedName>
    <definedName name="NvsNplSpec">"%,XZF.ACCOUNT.PSDetail"</definedName>
    <definedName name="NvsPanelEffdt">"V1997-01-01"</definedName>
    <definedName name="NvsPanelSetid">"VDECO"</definedName>
    <definedName name="NvsParentRef">[9]D_FOS_BS!$G$127</definedName>
    <definedName name="NvsReqBU">"VDECO"</definedName>
    <definedName name="NvsReqBUOnly">"VN"</definedName>
    <definedName name="NvsTransLed">"VN"</definedName>
    <definedName name="NvsTreeASD">"V1998-01-01"</definedName>
    <definedName name="NvsValTbl.ACCOUNT">"GL_ACCOUNT_TBL"</definedName>
    <definedName name="NvsValTbl.BUSINESS_UNIT">"BUS_UNIT_TBL_GL"</definedName>
    <definedName name="OCTJE" localSheetId="1">'[3]JE FORMS'!#REF!</definedName>
    <definedName name="OCTJE" localSheetId="14">'[3]JE FORMS'!#REF!</definedName>
    <definedName name="OCTJE">'[3]JE FORMS'!#REF!</definedName>
    <definedName name="OCTJE2" localSheetId="1">'[3]JE FORMS'!#REF!</definedName>
    <definedName name="OCTJE2" localSheetId="14">'[3]JE FORMS'!#REF!</definedName>
    <definedName name="OCTJE2">'[3]JE FORMS'!#REF!</definedName>
    <definedName name="OCTJE3" localSheetId="1">'[3]JE FORMS'!#REF!</definedName>
    <definedName name="OCTJE3" localSheetId="14">'[3]JE FORMS'!#REF!</definedName>
    <definedName name="OCTJE3">'[3]JE FORMS'!#REF!</definedName>
    <definedName name="OCTRET" localSheetId="1">#REF!</definedName>
    <definedName name="OCTRET" localSheetId="14">#REF!</definedName>
    <definedName name="OCTRET">#REF!</definedName>
    <definedName name="octwhlfpc" localSheetId="1">#REF!</definedName>
    <definedName name="octwhlfpc" localSheetId="14">#REF!</definedName>
    <definedName name="octwhlfpc">#REF!</definedName>
    <definedName name="octwhlftm" localSheetId="1">#REF!</definedName>
    <definedName name="octwhlftm" localSheetId="14">#REF!</definedName>
    <definedName name="octwhlftm">#REF!</definedName>
    <definedName name="octwhlstc">#REF!</definedName>
    <definedName name="octwhlwau">#REF!</definedName>
    <definedName name="OFIX_LAST_CUR" localSheetId="6">#REF!</definedName>
    <definedName name="OFIX_LAST_CUR">#REF!</definedName>
    <definedName name="OFIX_LAST_PRINC" localSheetId="6">#REF!</definedName>
    <definedName name="OFIX_LAST_PRINC">#REF!</definedName>
    <definedName name="OFIX_THIS_CUR" localSheetId="6">#REF!</definedName>
    <definedName name="OFIX_THIS_CUR">#REF!</definedName>
    <definedName name="OFIX_THIS_PRINC" localSheetId="6">#REF!</definedName>
    <definedName name="OFIX_THIS_PRINC">#REF!</definedName>
    <definedName name="OORACT">#REF!</definedName>
    <definedName name="OORBUD">#REF!</definedName>
    <definedName name="OORSSGOAL">#REF!</definedName>
    <definedName name="PKDH">[10]Lists!$A$2:$A$54</definedName>
    <definedName name="PLANBOOK" localSheetId="1">#REF!</definedName>
    <definedName name="PLANBOOK" localSheetId="14">#REF!</definedName>
    <definedName name="PLANBOOK">#REF!</definedName>
    <definedName name="PLine1">#REF!</definedName>
    <definedName name="PLine2">#REF!</definedName>
    <definedName name="PLine3">#REF!</definedName>
    <definedName name="PLine4">#REF!</definedName>
    <definedName name="_xlnm.Print_Area" localSheetId="3">'2021 TRIAL_BALANCE'!$I$1:$AA$33</definedName>
    <definedName name="_xlnm.Print_Area" localSheetId="0">'B-24 2025'!$A$1:$S$59</definedName>
    <definedName name="_xlnm.Print_Area" localSheetId="4">'BALANCE_SHEET 2021'!$I$1:$AA$33</definedName>
    <definedName name="_xlnm.Print_Area" localSheetId="1">'Leases-lessee'!$A$1:$U$64</definedName>
    <definedName name="_xlnm.Print_Area" localSheetId="12">'Leases-lessee (2)'!$A$2:$U$64</definedName>
    <definedName name="_xlnm.Print_Area" localSheetId="14">'Leases-lessee--3'!$A$1:$R$20</definedName>
    <definedName name="_xlnm.Print_Area" localSheetId="13">'Pole Attachments'!$A$1:$Y$45</definedName>
    <definedName name="_xlnm.Print_Titles" localSheetId="3">'2021 TRIAL_BALANCE'!$I:$J,'2021 TRIAL_BALANCE'!$19:$31</definedName>
    <definedName name="_xlnm.Print_Titles" localSheetId="4">'BALANCE_SHEET 2021'!$I:$J,'BALANCE_SHEET 2021'!$19:$31</definedName>
    <definedName name="PriorYear">#REF!</definedName>
    <definedName name="prrange1" localSheetId="6">#REF!</definedName>
    <definedName name="prrange1">#REF!</definedName>
    <definedName name="REFORECASTYEAR" localSheetId="1">#REF!</definedName>
    <definedName name="REFORECASTYEAR">#REF!</definedName>
    <definedName name="RESERVES">'[11]BS ACCTS'!$A$1:$P$300</definedName>
    <definedName name="sandp">[6]Input!$C$9</definedName>
    <definedName name="Schedule_Confirmation" localSheetId="1">[12]List!$A$22:$A$25</definedName>
    <definedName name="Schedule_Confirmation" localSheetId="14">[12]List!$A$22:$A$25</definedName>
    <definedName name="Schedule_Confirmation">[13]List!$A$14:$A$17</definedName>
    <definedName name="SEPJE" localSheetId="1">'[3]JE FORMS'!#REF!</definedName>
    <definedName name="SEPJE" localSheetId="14">'[3]JE FORMS'!#REF!</definedName>
    <definedName name="SEPJE">'[3]JE FORMS'!#REF!</definedName>
    <definedName name="SEPJE2" localSheetId="1">'[3]JE FORMS'!#REF!</definedName>
    <definedName name="SEPJE2" localSheetId="14">'[3]JE FORMS'!#REF!</definedName>
    <definedName name="SEPJE2">'[3]JE FORMS'!#REF!</definedName>
    <definedName name="SEPJE3" localSheetId="1">'[3]JE FORMS'!#REF!</definedName>
    <definedName name="SEPJE3" localSheetId="14">'[3]JE FORMS'!#REF!</definedName>
    <definedName name="SEPJE3">'[3]JE FORMS'!#REF!</definedName>
    <definedName name="sepret" localSheetId="1">#REF!</definedName>
    <definedName name="sepret" localSheetId="14">#REF!</definedName>
    <definedName name="sepret">#REF!</definedName>
    <definedName name="sepwhlfpc" localSheetId="1">#REF!</definedName>
    <definedName name="sepwhlfpc" localSheetId="14">#REF!</definedName>
    <definedName name="sepwhlfpc">#REF!</definedName>
    <definedName name="sepwhlftm" localSheetId="1">#REF!</definedName>
    <definedName name="sepwhlftm" localSheetId="14">#REF!</definedName>
    <definedName name="sepwhlftm">#REF!</definedName>
    <definedName name="sepwhlstc">#REF!</definedName>
    <definedName name="sepwhlwau">#REF!</definedName>
    <definedName name="Start_Year">'[14]New Capital'!$E$4</definedName>
    <definedName name="SUPRESS" localSheetId="3">'2021 TRIAL_BALANCE'!$R$1</definedName>
    <definedName name="SUPRESS">'BALANCE_SHEET 2021'!$R$1</definedName>
    <definedName name="SUPRESS2" localSheetId="3">'2021 TRIAL_BALANCE'!$Q$1</definedName>
    <definedName name="SUPRESS2">'BALANCE_SHEET 2021'!$Q$1</definedName>
    <definedName name="TAMPA_ELECTRIC__COMPANY">"MARWHLFPC"</definedName>
    <definedName name="tax" localSheetId="6">'[4]Original Sheet'!#REF!</definedName>
    <definedName name="tax">'[4]Original Sheet'!#REF!</definedName>
    <definedName name="TestYear">#REF!</definedName>
    <definedName name="TRUEUP" localSheetId="1">#REF!</definedName>
    <definedName name="TRUEUP" localSheetId="14">#REF!</definedName>
    <definedName name="TRUEUP">#REF!</definedName>
    <definedName name="TSS_CM" localSheetId="1">#REF!</definedName>
    <definedName name="TSS_CM" localSheetId="14">#REF!</definedName>
    <definedName name="TSS_CM">#REF!</definedName>
    <definedName name="TSS_YTD" localSheetId="1">#REF!</definedName>
    <definedName name="TSS_YTD" localSheetId="14">#REF!</definedName>
    <definedName name="TSS_YTD">#REF!</definedName>
    <definedName name="VAR_AVE_RATE" localSheetId="6">#REF!</definedName>
    <definedName name="VAR_AVE_RATE">#REF!</definedName>
    <definedName name="VAR_LAST_CUR" localSheetId="6">#REF!</definedName>
    <definedName name="VAR_LAST_CUR">#REF!</definedName>
    <definedName name="VAR_LAST_PRINC" localSheetId="6">#REF!</definedName>
    <definedName name="VAR_LAST_PRINC">#REF!</definedName>
    <definedName name="VAR_NOTE_RATES" localSheetId="6">#REF!</definedName>
    <definedName name="VAR_NOTE_RATES">#REF!</definedName>
    <definedName name="VAR_NOTES" localSheetId="6">#REF!</definedName>
    <definedName name="VAR_NOTES">#REF!</definedName>
    <definedName name="VAR_THIS_CUR" localSheetId="6">#REF!</definedName>
    <definedName name="VAR_THIS_CUR">#REF!</definedName>
    <definedName name="VAR_THIS_PRINC" localSheetId="6">#REF!</definedName>
    <definedName name="VAR_THIS_PRINC">#REF!</definedName>
    <definedName name="VPOOR98F">#REF!</definedName>
    <definedName name="VPOOR99">#REF!</definedName>
    <definedName name="WKSHT_HEAD" localSheetId="6">#REF!</definedName>
    <definedName name="WKSHT_HEAD">#REF!</definedName>
    <definedName name="WKSHT_LIST" localSheetId="6">#REF!</definedName>
    <definedName name="WKSHT_LIST">#REF!</definedName>
    <definedName name="YTD_NCE">#REF!</definedName>
    <definedName name="YTD_Summa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4" l="1"/>
  <c r="H18" i="36"/>
  <c r="H16" i="36"/>
  <c r="H15" i="36"/>
  <c r="I53" i="36" l="1"/>
  <c r="I48" i="36"/>
  <c r="I43" i="36"/>
  <c r="M15" i="44" l="1"/>
  <c r="M12" i="44"/>
  <c r="M13" i="44"/>
  <c r="M14" i="44"/>
  <c r="M11" i="44"/>
  <c r="H17" i="44"/>
  <c r="I17" i="44"/>
  <c r="J17" i="44"/>
  <c r="K17" i="44"/>
  <c r="L17" i="44"/>
  <c r="M17" i="44" l="1"/>
  <c r="I32" i="36" l="1"/>
  <c r="I31" i="36"/>
  <c r="I35" i="36" l="1"/>
  <c r="F50" i="38"/>
  <c r="E47" i="38"/>
  <c r="N42" i="38"/>
  <c r="L42" i="38"/>
  <c r="J42" i="38"/>
  <c r="H42" i="38"/>
  <c r="F42" i="38"/>
  <c r="D42" i="38"/>
  <c r="G35" i="38"/>
  <c r="F35" i="38"/>
  <c r="G34" i="38"/>
  <c r="G32" i="38"/>
  <c r="D32" i="38" s="1"/>
  <c r="D34" i="38" s="1"/>
  <c r="F32" i="38"/>
  <c r="F34" i="38" s="1"/>
  <c r="F26" i="38"/>
  <c r="E20" i="38"/>
  <c r="E30" i="38" s="1"/>
  <c r="M16" i="38"/>
  <c r="L14" i="38"/>
  <c r="K14" i="38"/>
  <c r="J14" i="38"/>
  <c r="I14" i="38"/>
  <c r="H14" i="38"/>
  <c r="G14" i="38"/>
  <c r="E14" i="38"/>
  <c r="L13" i="38"/>
  <c r="K13" i="38"/>
  <c r="J13" i="38"/>
  <c r="I13" i="38"/>
  <c r="H13" i="38"/>
  <c r="G13" i="38"/>
  <c r="E13" i="38"/>
  <c r="L12" i="38"/>
  <c r="K12" i="38"/>
  <c r="J12" i="38"/>
  <c r="I12" i="38"/>
  <c r="H12" i="38"/>
  <c r="G12" i="38"/>
  <c r="M12" i="38" s="1"/>
  <c r="E12" i="38"/>
  <c r="L11" i="38"/>
  <c r="K11" i="38"/>
  <c r="K17" i="38" s="1"/>
  <c r="L41" i="38" s="1"/>
  <c r="L43" i="38" s="1"/>
  <c r="J11" i="38"/>
  <c r="J17" i="38" s="1"/>
  <c r="J41" i="38" s="1"/>
  <c r="J43" i="38" s="1"/>
  <c r="I11" i="38"/>
  <c r="H11" i="38"/>
  <c r="G11" i="38"/>
  <c r="E11" i="38"/>
  <c r="L10" i="38"/>
  <c r="L17" i="38" s="1"/>
  <c r="N41" i="38" s="1"/>
  <c r="N43" i="38" s="1"/>
  <c r="K10" i="38"/>
  <c r="J10" i="38"/>
  <c r="I10" i="38"/>
  <c r="H10" i="38"/>
  <c r="G10" i="38"/>
  <c r="E10" i="38"/>
  <c r="H17" i="38" l="1"/>
  <c r="M13" i="38"/>
  <c r="M14" i="38"/>
  <c r="G17" i="38"/>
  <c r="I17" i="38"/>
  <c r="M11" i="38"/>
  <c r="M10" i="38"/>
  <c r="H41" i="38" l="1"/>
  <c r="H43" i="38" s="1"/>
  <c r="D41" i="38"/>
  <c r="F41" i="38"/>
  <c r="F43" i="38" s="1"/>
  <c r="M17" i="38"/>
  <c r="P41" i="38" l="1"/>
  <c r="P42" i="38" s="1"/>
  <c r="P43" i="38" s="1"/>
  <c r="D43" i="38"/>
  <c r="P12" i="38"/>
  <c r="P14" i="38"/>
  <c r="P13" i="38"/>
  <c r="P11" i="38"/>
  <c r="P10" i="38"/>
  <c r="R11" i="38" l="1"/>
  <c r="Q11" i="38"/>
  <c r="R13" i="38"/>
  <c r="Q13" i="38"/>
  <c r="Q14" i="38"/>
  <c r="R14" i="38"/>
  <c r="Q10" i="38"/>
  <c r="P17" i="38"/>
  <c r="R10" i="38"/>
  <c r="R12" i="38"/>
  <c r="Q12" i="38"/>
  <c r="Q17" i="38" l="1"/>
  <c r="F53" i="38" s="1"/>
  <c r="R17" i="38"/>
  <c r="F54" i="38" s="1"/>
  <c r="Q2" i="35" l="1"/>
  <c r="B18" i="35"/>
  <c r="B17" i="35"/>
  <c r="F35" i="36" l="1"/>
  <c r="I33" i="33" l="1"/>
  <c r="AB15" i="35"/>
  <c r="AA15" i="35"/>
  <c r="Z15" i="35"/>
  <c r="Y15" i="35"/>
  <c r="X15" i="35"/>
  <c r="W15" i="35"/>
  <c r="V15" i="35"/>
  <c r="U15" i="35"/>
  <c r="T15" i="35"/>
  <c r="S15" i="35"/>
  <c r="R15" i="35"/>
  <c r="Q15" i="35"/>
  <c r="P15" i="35"/>
  <c r="O15" i="35"/>
  <c r="N15" i="35"/>
  <c r="M15" i="35"/>
  <c r="D15" i="35"/>
  <c r="O11" i="35"/>
  <c r="Q1" i="35"/>
  <c r="K678" i="35"/>
  <c r="J677" i="35"/>
  <c r="K674" i="35"/>
  <c r="J673" i="35"/>
  <c r="K670" i="35"/>
  <c r="J669" i="35"/>
  <c r="K666" i="35"/>
  <c r="J665" i="35"/>
  <c r="K662" i="35"/>
  <c r="J661" i="35"/>
  <c r="K658" i="35"/>
  <c r="J657" i="35"/>
  <c r="K654" i="35"/>
  <c r="J653" i="35"/>
  <c r="K650" i="35"/>
  <c r="J649" i="35"/>
  <c r="K646" i="35"/>
  <c r="J645" i="35"/>
  <c r="K642" i="35"/>
  <c r="J641" i="35"/>
  <c r="K638" i="35"/>
  <c r="J637" i="35"/>
  <c r="K634" i="35"/>
  <c r="J633" i="35"/>
  <c r="K630" i="35"/>
  <c r="J629" i="35"/>
  <c r="K626" i="35"/>
  <c r="J625" i="35"/>
  <c r="K622" i="35"/>
  <c r="J621" i="35"/>
  <c r="K618" i="35"/>
  <c r="J617" i="35"/>
  <c r="K614" i="35"/>
  <c r="J613" i="35"/>
  <c r="K610" i="35"/>
  <c r="J609" i="35"/>
  <c r="K606" i="35"/>
  <c r="J605" i="35"/>
  <c r="K602" i="35"/>
  <c r="J601" i="35"/>
  <c r="K598" i="35"/>
  <c r="J597" i="35"/>
  <c r="K594" i="35"/>
  <c r="J593" i="35"/>
  <c r="K590" i="35"/>
  <c r="J589" i="35"/>
  <c r="K586" i="35"/>
  <c r="J585" i="35"/>
  <c r="K582" i="35"/>
  <c r="J581" i="35"/>
  <c r="K578" i="35"/>
  <c r="J577" i="35"/>
  <c r="K574" i="35"/>
  <c r="J573" i="35"/>
  <c r="K570" i="35"/>
  <c r="J569" i="35"/>
  <c r="K566" i="35"/>
  <c r="J565" i="35"/>
  <c r="K562" i="35"/>
  <c r="J561" i="35"/>
  <c r="K558" i="35"/>
  <c r="J557" i="35"/>
  <c r="K554" i="35"/>
  <c r="J553" i="35"/>
  <c r="K550" i="35"/>
  <c r="J549" i="35"/>
  <c r="K546" i="35"/>
  <c r="J545" i="35"/>
  <c r="K542" i="35"/>
  <c r="J541" i="35"/>
  <c r="K538" i="35"/>
  <c r="J537" i="35"/>
  <c r="K534" i="35"/>
  <c r="J533" i="35"/>
  <c r="K530" i="35"/>
  <c r="J529" i="35"/>
  <c r="K526" i="35"/>
  <c r="J525" i="35"/>
  <c r="K522" i="35"/>
  <c r="J521" i="35"/>
  <c r="K518" i="35"/>
  <c r="J517" i="35"/>
  <c r="K514" i="35"/>
  <c r="J513" i="35"/>
  <c r="K679" i="35"/>
  <c r="L679" i="35" s="1"/>
  <c r="J678" i="35"/>
  <c r="K675" i="35"/>
  <c r="L675" i="35" s="1"/>
  <c r="J674" i="35"/>
  <c r="K671" i="35"/>
  <c r="L671" i="35" s="1"/>
  <c r="J670" i="35"/>
  <c r="K667" i="35"/>
  <c r="L667" i="35" s="1"/>
  <c r="J666" i="35"/>
  <c r="K663" i="35"/>
  <c r="L663" i="35" s="1"/>
  <c r="J662" i="35"/>
  <c r="K659" i="35"/>
  <c r="L659" i="35" s="1"/>
  <c r="J658" i="35"/>
  <c r="K655" i="35"/>
  <c r="L655" i="35" s="1"/>
  <c r="J654" i="35"/>
  <c r="K651" i="35"/>
  <c r="L651" i="35" s="1"/>
  <c r="J650" i="35"/>
  <c r="K647" i="35"/>
  <c r="L647" i="35" s="1"/>
  <c r="J646" i="35"/>
  <c r="K643" i="35"/>
  <c r="L643" i="35" s="1"/>
  <c r="J642" i="35"/>
  <c r="K639" i="35"/>
  <c r="L639" i="35" s="1"/>
  <c r="J638" i="35"/>
  <c r="K635" i="35"/>
  <c r="L635" i="35" s="1"/>
  <c r="J634" i="35"/>
  <c r="K631" i="35"/>
  <c r="L631" i="35" s="1"/>
  <c r="J630" i="35"/>
  <c r="K627" i="35"/>
  <c r="L627" i="35" s="1"/>
  <c r="J626" i="35"/>
  <c r="K623" i="35"/>
  <c r="L623" i="35" s="1"/>
  <c r="J622" i="35"/>
  <c r="K619" i="35"/>
  <c r="L619" i="35" s="1"/>
  <c r="J618" i="35"/>
  <c r="K615" i="35"/>
  <c r="L615" i="35" s="1"/>
  <c r="J614" i="35"/>
  <c r="K611" i="35"/>
  <c r="L611" i="35" s="1"/>
  <c r="J610" i="35"/>
  <c r="K607" i="35"/>
  <c r="L607" i="35" s="1"/>
  <c r="J606" i="35"/>
  <c r="K603" i="35"/>
  <c r="L603" i="35" s="1"/>
  <c r="J602" i="35"/>
  <c r="K599" i="35"/>
  <c r="L599" i="35" s="1"/>
  <c r="J598" i="35"/>
  <c r="K595" i="35"/>
  <c r="L595" i="35" s="1"/>
  <c r="J594" i="35"/>
  <c r="K591" i="35"/>
  <c r="L591" i="35" s="1"/>
  <c r="J590" i="35"/>
  <c r="K587" i="35"/>
  <c r="L587" i="35" s="1"/>
  <c r="J586" i="35"/>
  <c r="K583" i="35"/>
  <c r="L583" i="35" s="1"/>
  <c r="J582" i="35"/>
  <c r="K579" i="35"/>
  <c r="L579" i="35" s="1"/>
  <c r="J578" i="35"/>
  <c r="K575" i="35"/>
  <c r="L575" i="35" s="1"/>
  <c r="J574" i="35"/>
  <c r="K571" i="35"/>
  <c r="L571" i="35" s="1"/>
  <c r="J570" i="35"/>
  <c r="K567" i="35"/>
  <c r="L567" i="35" s="1"/>
  <c r="J566" i="35"/>
  <c r="K563" i="35"/>
  <c r="L563" i="35" s="1"/>
  <c r="J562" i="35"/>
  <c r="K559" i="35"/>
  <c r="L559" i="35" s="1"/>
  <c r="J558" i="35"/>
  <c r="K555" i="35"/>
  <c r="L555" i="35" s="1"/>
  <c r="J554" i="35"/>
  <c r="K551" i="35"/>
  <c r="L551" i="35" s="1"/>
  <c r="J550" i="35"/>
  <c r="K547" i="35"/>
  <c r="L547" i="35" s="1"/>
  <c r="J546" i="35"/>
  <c r="K543" i="35"/>
  <c r="L543" i="35" s="1"/>
  <c r="J542" i="35"/>
  <c r="K539" i="35"/>
  <c r="L539" i="35" s="1"/>
  <c r="J538" i="35"/>
  <c r="K535" i="35"/>
  <c r="L535" i="35" s="1"/>
  <c r="J534" i="35"/>
  <c r="K531" i="35"/>
  <c r="L531" i="35" s="1"/>
  <c r="J530" i="35"/>
  <c r="K527" i="35"/>
  <c r="L527" i="35" s="1"/>
  <c r="J526" i="35"/>
  <c r="K523" i="35"/>
  <c r="L523" i="35" s="1"/>
  <c r="J522" i="35"/>
  <c r="K519" i="35"/>
  <c r="L519" i="35" s="1"/>
  <c r="J518" i="35"/>
  <c r="K515" i="35"/>
  <c r="L515" i="35" s="1"/>
  <c r="J514" i="35"/>
  <c r="J679" i="35"/>
  <c r="K676" i="35"/>
  <c r="L676" i="35" s="1"/>
  <c r="J671" i="35"/>
  <c r="K668" i="35"/>
  <c r="L668" i="35" s="1"/>
  <c r="J663" i="35"/>
  <c r="K660" i="35"/>
  <c r="L660" i="35" s="1"/>
  <c r="J655" i="35"/>
  <c r="K652" i="35"/>
  <c r="L652" i="35" s="1"/>
  <c r="J647" i="35"/>
  <c r="K644" i="35"/>
  <c r="L644" i="35" s="1"/>
  <c r="J639" i="35"/>
  <c r="K636" i="35"/>
  <c r="L636" i="35" s="1"/>
  <c r="J631" i="35"/>
  <c r="K628" i="35"/>
  <c r="L628" i="35" s="1"/>
  <c r="J623" i="35"/>
  <c r="K620" i="35"/>
  <c r="L620" i="35" s="1"/>
  <c r="J615" i="35"/>
  <c r="K612" i="35"/>
  <c r="L612" i="35" s="1"/>
  <c r="J607" i="35"/>
  <c r="K604" i="35"/>
  <c r="L604" i="35" s="1"/>
  <c r="J599" i="35"/>
  <c r="K596" i="35"/>
  <c r="L596" i="35" s="1"/>
  <c r="J591" i="35"/>
  <c r="K588" i="35"/>
  <c r="L588" i="35" s="1"/>
  <c r="J583" i="35"/>
  <c r="K580" i="35"/>
  <c r="L580" i="35" s="1"/>
  <c r="J575" i="35"/>
  <c r="K572" i="35"/>
  <c r="L572" i="35" s="1"/>
  <c r="J567" i="35"/>
  <c r="K564" i="35"/>
  <c r="L564" i="35" s="1"/>
  <c r="J559" i="35"/>
  <c r="K556" i="35"/>
  <c r="L556" i="35" s="1"/>
  <c r="J551" i="35"/>
  <c r="K548" i="35"/>
  <c r="L548" i="35" s="1"/>
  <c r="J543" i="35"/>
  <c r="K540" i="35"/>
  <c r="L540" i="35" s="1"/>
  <c r="J535" i="35"/>
  <c r="K532" i="35"/>
  <c r="L532" i="35" s="1"/>
  <c r="J527" i="35"/>
  <c r="K524" i="35"/>
  <c r="L524" i="35" s="1"/>
  <c r="J519" i="35"/>
  <c r="K516" i="35"/>
  <c r="L516" i="35" s="1"/>
  <c r="J512" i="35"/>
  <c r="K510" i="35"/>
  <c r="J509" i="35"/>
  <c r="K506" i="35"/>
  <c r="J505" i="35"/>
  <c r="K502" i="35"/>
  <c r="J501" i="35"/>
  <c r="K498" i="35"/>
  <c r="J497" i="35"/>
  <c r="K494" i="35"/>
  <c r="J493" i="35"/>
  <c r="K490" i="35"/>
  <c r="J489" i="35"/>
  <c r="K486" i="35"/>
  <c r="J485" i="35"/>
  <c r="K482" i="35"/>
  <c r="J481" i="35"/>
  <c r="K478" i="35"/>
  <c r="J477" i="35"/>
  <c r="K474" i="35"/>
  <c r="J473" i="35"/>
  <c r="K470" i="35"/>
  <c r="J469" i="35"/>
  <c r="K466" i="35"/>
  <c r="J465" i="35"/>
  <c r="K462" i="35"/>
  <c r="J461" i="35"/>
  <c r="K458" i="35"/>
  <c r="J457" i="35"/>
  <c r="K454" i="35"/>
  <c r="J453" i="35"/>
  <c r="K450" i="35"/>
  <c r="J449" i="35"/>
  <c r="K446" i="35"/>
  <c r="J445" i="35"/>
  <c r="K442" i="35"/>
  <c r="J441" i="35"/>
  <c r="K438" i="35"/>
  <c r="J437" i="35"/>
  <c r="K434" i="35"/>
  <c r="J433" i="35"/>
  <c r="K430" i="35"/>
  <c r="J429" i="35"/>
  <c r="K426" i="35"/>
  <c r="J425" i="35"/>
  <c r="L678" i="35"/>
  <c r="J676" i="35"/>
  <c r="K673" i="35"/>
  <c r="L673" i="35" s="1"/>
  <c r="L670" i="35"/>
  <c r="J668" i="35"/>
  <c r="K665" i="35"/>
  <c r="L665" i="35" s="1"/>
  <c r="L662" i="35"/>
  <c r="J660" i="35"/>
  <c r="K657" i="35"/>
  <c r="L657" i="35" s="1"/>
  <c r="L654" i="35"/>
  <c r="J652" i="35"/>
  <c r="K649" i="35"/>
  <c r="L649" i="35" s="1"/>
  <c r="L646" i="35"/>
  <c r="J644" i="35"/>
  <c r="K641" i="35"/>
  <c r="L641" i="35" s="1"/>
  <c r="L638" i="35"/>
  <c r="J636" i="35"/>
  <c r="K633" i="35"/>
  <c r="L633" i="35" s="1"/>
  <c r="L630" i="35"/>
  <c r="J628" i="35"/>
  <c r="K625" i="35"/>
  <c r="L625" i="35" s="1"/>
  <c r="L622" i="35"/>
  <c r="J620" i="35"/>
  <c r="K617" i="35"/>
  <c r="L617" i="35" s="1"/>
  <c r="L614" i="35"/>
  <c r="J612" i="35"/>
  <c r="K609" i="35"/>
  <c r="L609" i="35" s="1"/>
  <c r="L606" i="35"/>
  <c r="J604" i="35"/>
  <c r="K601" i="35"/>
  <c r="L601" i="35" s="1"/>
  <c r="L598" i="35"/>
  <c r="J596" i="35"/>
  <c r="K593" i="35"/>
  <c r="L593" i="35" s="1"/>
  <c r="L590" i="35"/>
  <c r="J588" i="35"/>
  <c r="K585" i="35"/>
  <c r="L585" i="35" s="1"/>
  <c r="L582" i="35"/>
  <c r="J580" i="35"/>
  <c r="K577" i="35"/>
  <c r="L577" i="35" s="1"/>
  <c r="L574" i="35"/>
  <c r="J572" i="35"/>
  <c r="K569" i="35"/>
  <c r="L569" i="35" s="1"/>
  <c r="L566" i="35"/>
  <c r="J564" i="35"/>
  <c r="K561" i="35"/>
  <c r="L561" i="35" s="1"/>
  <c r="L558" i="35"/>
  <c r="J556" i="35"/>
  <c r="K553" i="35"/>
  <c r="L553" i="35" s="1"/>
  <c r="L550" i="35"/>
  <c r="J548" i="35"/>
  <c r="K545" i="35"/>
  <c r="L545" i="35" s="1"/>
  <c r="L542" i="35"/>
  <c r="J540" i="35"/>
  <c r="K537" i="35"/>
  <c r="L537" i="35" s="1"/>
  <c r="L534" i="35"/>
  <c r="J532" i="35"/>
  <c r="K529" i="35"/>
  <c r="L529" i="35" s="1"/>
  <c r="L526" i="35"/>
  <c r="J524" i="35"/>
  <c r="K521" i="35"/>
  <c r="L521" i="35" s="1"/>
  <c r="L518" i="35"/>
  <c r="J516" i="35"/>
  <c r="K513" i="35"/>
  <c r="L513" i="35" s="1"/>
  <c r="K511" i="35"/>
  <c r="L511" i="35" s="1"/>
  <c r="J510" i="35"/>
  <c r="K507" i="35"/>
  <c r="L507" i="35" s="1"/>
  <c r="J506" i="35"/>
  <c r="K503" i="35"/>
  <c r="L503" i="35" s="1"/>
  <c r="J502" i="35"/>
  <c r="K499" i="35"/>
  <c r="L499" i="35" s="1"/>
  <c r="J498" i="35"/>
  <c r="K495" i="35"/>
  <c r="L495" i="35" s="1"/>
  <c r="J494" i="35"/>
  <c r="K491" i="35"/>
  <c r="L491" i="35" s="1"/>
  <c r="J490" i="35"/>
  <c r="K487" i="35"/>
  <c r="L487" i="35" s="1"/>
  <c r="J486" i="35"/>
  <c r="K483" i="35"/>
  <c r="L483" i="35" s="1"/>
  <c r="J482" i="35"/>
  <c r="K479" i="35"/>
  <c r="L479" i="35" s="1"/>
  <c r="J478" i="35"/>
  <c r="K475" i="35"/>
  <c r="L475" i="35" s="1"/>
  <c r="J474" i="35"/>
  <c r="K471" i="35"/>
  <c r="L471" i="35" s="1"/>
  <c r="J470" i="35"/>
  <c r="K467" i="35"/>
  <c r="L467" i="35" s="1"/>
  <c r="J466" i="35"/>
  <c r="K463" i="35"/>
  <c r="L463" i="35" s="1"/>
  <c r="J462" i="35"/>
  <c r="K459" i="35"/>
  <c r="L459" i="35" s="1"/>
  <c r="J458" i="35"/>
  <c r="K455" i="35"/>
  <c r="L455" i="35" s="1"/>
  <c r="J454" i="35"/>
  <c r="K451" i="35"/>
  <c r="L451" i="35" s="1"/>
  <c r="J450" i="35"/>
  <c r="K447" i="35"/>
  <c r="L447" i="35" s="1"/>
  <c r="J446" i="35"/>
  <c r="K443" i="35"/>
  <c r="L443" i="35" s="1"/>
  <c r="J442" i="35"/>
  <c r="K439" i="35"/>
  <c r="L439" i="35" s="1"/>
  <c r="J438" i="35"/>
  <c r="K435" i="35"/>
  <c r="L435" i="35" s="1"/>
  <c r="J434" i="35"/>
  <c r="K431" i="35"/>
  <c r="L431" i="35" s="1"/>
  <c r="J430" i="35"/>
  <c r="K427" i="35"/>
  <c r="L427" i="35" s="1"/>
  <c r="K672" i="35"/>
  <c r="L672" i="35" s="1"/>
  <c r="J667" i="35"/>
  <c r="K656" i="35"/>
  <c r="L656" i="35" s="1"/>
  <c r="J651" i="35"/>
  <c r="K640" i="35"/>
  <c r="L640" i="35" s="1"/>
  <c r="J635" i="35"/>
  <c r="K624" i="35"/>
  <c r="L624" i="35" s="1"/>
  <c r="J619" i="35"/>
  <c r="K608" i="35"/>
  <c r="L608" i="35" s="1"/>
  <c r="J603" i="35"/>
  <c r="K592" i="35"/>
  <c r="L592" i="35" s="1"/>
  <c r="J587" i="35"/>
  <c r="K576" i="35"/>
  <c r="L576" i="35" s="1"/>
  <c r="J571" i="35"/>
  <c r="K560" i="35"/>
  <c r="L560" i="35" s="1"/>
  <c r="J555" i="35"/>
  <c r="K544" i="35"/>
  <c r="L544" i="35" s="1"/>
  <c r="J539" i="35"/>
  <c r="K528" i="35"/>
  <c r="L528" i="35" s="1"/>
  <c r="J523" i="35"/>
  <c r="J507" i="35"/>
  <c r="K504" i="35"/>
  <c r="L504" i="35" s="1"/>
  <c r="J499" i="35"/>
  <c r="K496" i="35"/>
  <c r="L496" i="35" s="1"/>
  <c r="J491" i="35"/>
  <c r="K488" i="35"/>
  <c r="L488" i="35" s="1"/>
  <c r="J483" i="35"/>
  <c r="K480" i="35"/>
  <c r="L480" i="35" s="1"/>
  <c r="J475" i="35"/>
  <c r="K472" i="35"/>
  <c r="L472" i="35" s="1"/>
  <c r="J467" i="35"/>
  <c r="K464" i="35"/>
  <c r="L464" i="35" s="1"/>
  <c r="J459" i="35"/>
  <c r="K456" i="35"/>
  <c r="L456" i="35" s="1"/>
  <c r="J451" i="35"/>
  <c r="K448" i="35"/>
  <c r="L448" i="35" s="1"/>
  <c r="J443" i="35"/>
  <c r="K440" i="35"/>
  <c r="L440" i="35" s="1"/>
  <c r="J435" i="35"/>
  <c r="K432" i="35"/>
  <c r="L432" i="35" s="1"/>
  <c r="J427" i="35"/>
  <c r="K425" i="35"/>
  <c r="K423" i="35"/>
  <c r="L423" i="35" s="1"/>
  <c r="J422" i="35"/>
  <c r="K419" i="35"/>
  <c r="J418" i="35"/>
  <c r="K415" i="35"/>
  <c r="J414" i="35"/>
  <c r="K411" i="35"/>
  <c r="J410" i="35"/>
  <c r="K407" i="35"/>
  <c r="J406" i="35"/>
  <c r="K403" i="35"/>
  <c r="J402" i="35"/>
  <c r="K399" i="35"/>
  <c r="J398" i="35"/>
  <c r="K395" i="35"/>
  <c r="J394" i="35"/>
  <c r="K391" i="35"/>
  <c r="J390" i="35"/>
  <c r="K387" i="35"/>
  <c r="J386" i="35"/>
  <c r="K383" i="35"/>
  <c r="J382" i="35"/>
  <c r="K379" i="35"/>
  <c r="J378" i="35"/>
  <c r="K375" i="35"/>
  <c r="J374" i="35"/>
  <c r="K371" i="35"/>
  <c r="J370" i="35"/>
  <c r="K367" i="35"/>
  <c r="J366" i="35"/>
  <c r="K363" i="35"/>
  <c r="J362" i="35"/>
  <c r="K359" i="35"/>
  <c r="J358" i="35"/>
  <c r="K355" i="35"/>
  <c r="J354" i="35"/>
  <c r="K351" i="35"/>
  <c r="J350" i="35"/>
  <c r="K347" i="35"/>
  <c r="J346" i="35"/>
  <c r="K343" i="35"/>
  <c r="J342" i="35"/>
  <c r="K339" i="35"/>
  <c r="J338" i="35"/>
  <c r="K335" i="35"/>
  <c r="J334" i="35"/>
  <c r="K331" i="35"/>
  <c r="J330" i="35"/>
  <c r="K327" i="35"/>
  <c r="J326" i="35"/>
  <c r="K323" i="35"/>
  <c r="J322" i="35"/>
  <c r="K319" i="35"/>
  <c r="J318" i="35"/>
  <c r="K315" i="35"/>
  <c r="J314" i="35"/>
  <c r="K311" i="35"/>
  <c r="J310" i="35"/>
  <c r="K307" i="35"/>
  <c r="J306" i="35"/>
  <c r="K303" i="35"/>
  <c r="J302" i="35"/>
  <c r="K299" i="35"/>
  <c r="J298" i="35"/>
  <c r="K295" i="35"/>
  <c r="J294" i="35"/>
  <c r="K291" i="35"/>
  <c r="J290" i="35"/>
  <c r="K287" i="35"/>
  <c r="J286" i="35"/>
  <c r="K283" i="35"/>
  <c r="J282" i="35"/>
  <c r="K279" i="35"/>
  <c r="J278" i="35"/>
  <c r="K275" i="35"/>
  <c r="J274" i="35"/>
  <c r="K271" i="35"/>
  <c r="J270" i="35"/>
  <c r="K267" i="35"/>
  <c r="J266" i="35"/>
  <c r="K263" i="35"/>
  <c r="J262" i="35"/>
  <c r="K259" i="35"/>
  <c r="J258" i="35"/>
  <c r="K255" i="35"/>
  <c r="J254" i="35"/>
  <c r="K251" i="35"/>
  <c r="J250" i="35"/>
  <c r="K247" i="35"/>
  <c r="J246" i="35"/>
  <c r="K243" i="35"/>
  <c r="J242" i="35"/>
  <c r="K239" i="35"/>
  <c r="J238" i="35"/>
  <c r="K235" i="35"/>
  <c r="J234" i="35"/>
  <c r="K231" i="35"/>
  <c r="J230" i="35"/>
  <c r="K227" i="35"/>
  <c r="J226" i="35"/>
  <c r="K223" i="35"/>
  <c r="J222" i="35"/>
  <c r="K219" i="35"/>
  <c r="J218" i="35"/>
  <c r="K215" i="35"/>
  <c r="J214" i="35"/>
  <c r="K211" i="35"/>
  <c r="J210" i="35"/>
  <c r="K207" i="35"/>
  <c r="J206" i="35"/>
  <c r="K203" i="35"/>
  <c r="J202" i="35"/>
  <c r="K199" i="35"/>
  <c r="J198" i="35"/>
  <c r="K195" i="35"/>
  <c r="J194" i="35"/>
  <c r="K191" i="35"/>
  <c r="J190" i="35"/>
  <c r="K187" i="35"/>
  <c r="J186" i="35"/>
  <c r="K183" i="35"/>
  <c r="J182" i="35"/>
  <c r="K179" i="35"/>
  <c r="J178" i="35"/>
  <c r="K175" i="35"/>
  <c r="J174" i="35"/>
  <c r="K171" i="35"/>
  <c r="K677" i="35"/>
  <c r="L677" i="35" s="1"/>
  <c r="J672" i="35"/>
  <c r="L666" i="35"/>
  <c r="K661" i="35"/>
  <c r="L661" i="35" s="1"/>
  <c r="J656" i="35"/>
  <c r="L650" i="35"/>
  <c r="K645" i="35"/>
  <c r="L645" i="35" s="1"/>
  <c r="J640" i="35"/>
  <c r="L634" i="35"/>
  <c r="K629" i="35"/>
  <c r="L629" i="35" s="1"/>
  <c r="J624" i="35"/>
  <c r="L618" i="35"/>
  <c r="K613" i="35"/>
  <c r="L613" i="35" s="1"/>
  <c r="J608" i="35"/>
  <c r="L602" i="35"/>
  <c r="K597" i="35"/>
  <c r="L597" i="35" s="1"/>
  <c r="J592" i="35"/>
  <c r="L586" i="35"/>
  <c r="K581" i="35"/>
  <c r="L581" i="35" s="1"/>
  <c r="J576" i="35"/>
  <c r="L570" i="35"/>
  <c r="K565" i="35"/>
  <c r="L565" i="35" s="1"/>
  <c r="J560" i="35"/>
  <c r="L554" i="35"/>
  <c r="K549" i="35"/>
  <c r="L549" i="35" s="1"/>
  <c r="J544" i="35"/>
  <c r="L538" i="35"/>
  <c r="K533" i="35"/>
  <c r="L533" i="35" s="1"/>
  <c r="J528" i="35"/>
  <c r="L522" i="35"/>
  <c r="K517" i="35"/>
  <c r="L517" i="35" s="1"/>
  <c r="K512" i="35"/>
  <c r="L512" i="35" s="1"/>
  <c r="K509" i="35"/>
  <c r="L509" i="35" s="1"/>
  <c r="L506" i="35"/>
  <c r="J504" i="35"/>
  <c r="K501" i="35"/>
  <c r="L501" i="35" s="1"/>
  <c r="L498" i="35"/>
  <c r="J496" i="35"/>
  <c r="K493" i="35"/>
  <c r="L493" i="35" s="1"/>
  <c r="L490" i="35"/>
  <c r="J488" i="35"/>
  <c r="K485" i="35"/>
  <c r="L485" i="35" s="1"/>
  <c r="L482" i="35"/>
  <c r="J480" i="35"/>
  <c r="K477" i="35"/>
  <c r="L477" i="35" s="1"/>
  <c r="L474" i="35"/>
  <c r="J472" i="35"/>
  <c r="K469" i="35"/>
  <c r="L469" i="35" s="1"/>
  <c r="L466" i="35"/>
  <c r="J464" i="35"/>
  <c r="K461" i="35"/>
  <c r="L461" i="35" s="1"/>
  <c r="L458" i="35"/>
  <c r="J456" i="35"/>
  <c r="K453" i="35"/>
  <c r="L453" i="35" s="1"/>
  <c r="L450" i="35"/>
  <c r="J448" i="35"/>
  <c r="K445" i="35"/>
  <c r="L445" i="35" s="1"/>
  <c r="L442" i="35"/>
  <c r="J440" i="35"/>
  <c r="K437" i="35"/>
  <c r="L437" i="35" s="1"/>
  <c r="L434" i="35"/>
  <c r="J432" i="35"/>
  <c r="K429" i="35"/>
  <c r="L429" i="35" s="1"/>
  <c r="L426" i="35"/>
  <c r="J423" i="35"/>
  <c r="K420" i="35"/>
  <c r="L420" i="35" s="1"/>
  <c r="J419" i="35"/>
  <c r="K416" i="35"/>
  <c r="L416" i="35" s="1"/>
  <c r="J415" i="35"/>
  <c r="K412" i="35"/>
  <c r="L412" i="35" s="1"/>
  <c r="J411" i="35"/>
  <c r="K408" i="35"/>
  <c r="L408" i="35" s="1"/>
  <c r="J407" i="35"/>
  <c r="K404" i="35"/>
  <c r="L404" i="35" s="1"/>
  <c r="J403" i="35"/>
  <c r="K400" i="35"/>
  <c r="L400" i="35" s="1"/>
  <c r="J399" i="35"/>
  <c r="K396" i="35"/>
  <c r="L396" i="35" s="1"/>
  <c r="J395" i="35"/>
  <c r="K392" i="35"/>
  <c r="L392" i="35" s="1"/>
  <c r="J391" i="35"/>
  <c r="K388" i="35"/>
  <c r="L388" i="35" s="1"/>
  <c r="J387" i="35"/>
  <c r="K384" i="35"/>
  <c r="L384" i="35" s="1"/>
  <c r="J383" i="35"/>
  <c r="K380" i="35"/>
  <c r="L380" i="35" s="1"/>
  <c r="J379" i="35"/>
  <c r="K376" i="35"/>
  <c r="L376" i="35" s="1"/>
  <c r="J375" i="35"/>
  <c r="K372" i="35"/>
  <c r="L372" i="35" s="1"/>
  <c r="J371" i="35"/>
  <c r="K368" i="35"/>
  <c r="L368" i="35" s="1"/>
  <c r="J367" i="35"/>
  <c r="K364" i="35"/>
  <c r="L364" i="35" s="1"/>
  <c r="J363" i="35"/>
  <c r="K360" i="35"/>
  <c r="L360" i="35" s="1"/>
  <c r="J359" i="35"/>
  <c r="K356" i="35"/>
  <c r="L356" i="35" s="1"/>
  <c r="J355" i="35"/>
  <c r="K352" i="35"/>
  <c r="L352" i="35" s="1"/>
  <c r="J351" i="35"/>
  <c r="K348" i="35"/>
  <c r="L348" i="35" s="1"/>
  <c r="J347" i="35"/>
  <c r="K344" i="35"/>
  <c r="L344" i="35" s="1"/>
  <c r="J343" i="35"/>
  <c r="K340" i="35"/>
  <c r="L340" i="35" s="1"/>
  <c r="J339" i="35"/>
  <c r="K336" i="35"/>
  <c r="L336" i="35" s="1"/>
  <c r="J335" i="35"/>
  <c r="K332" i="35"/>
  <c r="L332" i="35" s="1"/>
  <c r="J331" i="35"/>
  <c r="K328" i="35"/>
  <c r="L328" i="35" s="1"/>
  <c r="J327" i="35"/>
  <c r="K324" i="35"/>
  <c r="L324" i="35" s="1"/>
  <c r="J323" i="35"/>
  <c r="K320" i="35"/>
  <c r="L320" i="35" s="1"/>
  <c r="J319" i="35"/>
  <c r="K316" i="35"/>
  <c r="L316" i="35" s="1"/>
  <c r="J315" i="35"/>
  <c r="K312" i="35"/>
  <c r="L312" i="35" s="1"/>
  <c r="J311" i="35"/>
  <c r="K308" i="35"/>
  <c r="L308" i="35" s="1"/>
  <c r="J307" i="35"/>
  <c r="K304" i="35"/>
  <c r="L304" i="35" s="1"/>
  <c r="J303" i="35"/>
  <c r="K300" i="35"/>
  <c r="L300" i="35" s="1"/>
  <c r="J299" i="35"/>
  <c r="K296" i="35"/>
  <c r="L296" i="35" s="1"/>
  <c r="J295" i="35"/>
  <c r="K292" i="35"/>
  <c r="L292" i="35" s="1"/>
  <c r="J291" i="35"/>
  <c r="K288" i="35"/>
  <c r="L288" i="35" s="1"/>
  <c r="J287" i="35"/>
  <c r="K284" i="35"/>
  <c r="L284" i="35" s="1"/>
  <c r="J283" i="35"/>
  <c r="K280" i="35"/>
  <c r="L280" i="35" s="1"/>
  <c r="J279" i="35"/>
  <c r="K276" i="35"/>
  <c r="L276" i="35" s="1"/>
  <c r="J275" i="35"/>
  <c r="K272" i="35"/>
  <c r="L272" i="35" s="1"/>
  <c r="J271" i="35"/>
  <c r="K268" i="35"/>
  <c r="L268" i="35" s="1"/>
  <c r="J267" i="35"/>
  <c r="K264" i="35"/>
  <c r="L264" i="35" s="1"/>
  <c r="J263" i="35"/>
  <c r="K260" i="35"/>
  <c r="L260" i="35" s="1"/>
  <c r="J259" i="35"/>
  <c r="K256" i="35"/>
  <c r="L256" i="35" s="1"/>
  <c r="J255" i="35"/>
  <c r="K252" i="35"/>
  <c r="L252" i="35" s="1"/>
  <c r="J251" i="35"/>
  <c r="K248" i="35"/>
  <c r="L248" i="35" s="1"/>
  <c r="J247" i="35"/>
  <c r="K244" i="35"/>
  <c r="L244" i="35" s="1"/>
  <c r="J243" i="35"/>
  <c r="K240" i="35"/>
  <c r="L240" i="35" s="1"/>
  <c r="J239" i="35"/>
  <c r="K236" i="35"/>
  <c r="L236" i="35" s="1"/>
  <c r="J235" i="35"/>
  <c r="K232" i="35"/>
  <c r="L232" i="35" s="1"/>
  <c r="J231" i="35"/>
  <c r="K228" i="35"/>
  <c r="L228" i="35" s="1"/>
  <c r="J227" i="35"/>
  <c r="K224" i="35"/>
  <c r="L224" i="35" s="1"/>
  <c r="J223" i="35"/>
  <c r="K220" i="35"/>
  <c r="L220" i="35" s="1"/>
  <c r="J219" i="35"/>
  <c r="K216" i="35"/>
  <c r="L216" i="35" s="1"/>
  <c r="J215" i="35"/>
  <c r="K212" i="35"/>
  <c r="L212" i="35" s="1"/>
  <c r="J211" i="35"/>
  <c r="K208" i="35"/>
  <c r="L208" i="35" s="1"/>
  <c r="J207" i="35"/>
  <c r="K204" i="35"/>
  <c r="L204" i="35" s="1"/>
  <c r="J203" i="35"/>
  <c r="K200" i="35"/>
  <c r="L200" i="35" s="1"/>
  <c r="J199" i="35"/>
  <c r="K196" i="35"/>
  <c r="L196" i="35" s="1"/>
  <c r="J195" i="35"/>
  <c r="J675" i="35"/>
  <c r="K664" i="35"/>
  <c r="L664" i="35" s="1"/>
  <c r="J643" i="35"/>
  <c r="K632" i="35"/>
  <c r="L632" i="35" s="1"/>
  <c r="J611" i="35"/>
  <c r="K600" i="35"/>
  <c r="L600" i="35" s="1"/>
  <c r="J579" i="35"/>
  <c r="K568" i="35"/>
  <c r="L568" i="35" s="1"/>
  <c r="J547" i="35"/>
  <c r="K536" i="35"/>
  <c r="L536" i="35" s="1"/>
  <c r="J515" i="35"/>
  <c r="K508" i="35"/>
  <c r="L508" i="35" s="1"/>
  <c r="J503" i="35"/>
  <c r="K492" i="35"/>
  <c r="L492" i="35" s="1"/>
  <c r="J487" i="35"/>
  <c r="K476" i="35"/>
  <c r="L476" i="35" s="1"/>
  <c r="J471" i="35"/>
  <c r="K460" i="35"/>
  <c r="L460" i="35" s="1"/>
  <c r="J455" i="35"/>
  <c r="K444" i="35"/>
  <c r="L444" i="35" s="1"/>
  <c r="J439" i="35"/>
  <c r="K428" i="35"/>
  <c r="L428" i="35" s="1"/>
  <c r="K424" i="35"/>
  <c r="L424" i="35" s="1"/>
  <c r="K421" i="35"/>
  <c r="L421" i="35" s="1"/>
  <c r="J416" i="35"/>
  <c r="K413" i="35"/>
  <c r="L413" i="35" s="1"/>
  <c r="J408" i="35"/>
  <c r="K405" i="35"/>
  <c r="L405" i="35" s="1"/>
  <c r="J400" i="35"/>
  <c r="K397" i="35"/>
  <c r="L397" i="35" s="1"/>
  <c r="J392" i="35"/>
  <c r="K389" i="35"/>
  <c r="L389" i="35" s="1"/>
  <c r="J384" i="35"/>
  <c r="K381" i="35"/>
  <c r="L381" i="35" s="1"/>
  <c r="J376" i="35"/>
  <c r="K373" i="35"/>
  <c r="L373" i="35" s="1"/>
  <c r="J368" i="35"/>
  <c r="K365" i="35"/>
  <c r="L365" i="35" s="1"/>
  <c r="J360" i="35"/>
  <c r="K357" i="35"/>
  <c r="L357" i="35" s="1"/>
  <c r="J352" i="35"/>
  <c r="K349" i="35"/>
  <c r="L349" i="35" s="1"/>
  <c r="J344" i="35"/>
  <c r="K341" i="35"/>
  <c r="L341" i="35" s="1"/>
  <c r="J336" i="35"/>
  <c r="K333" i="35"/>
  <c r="L333" i="35" s="1"/>
  <c r="J328" i="35"/>
  <c r="K325" i="35"/>
  <c r="L325" i="35" s="1"/>
  <c r="J320" i="35"/>
  <c r="K317" i="35"/>
  <c r="L317" i="35" s="1"/>
  <c r="J312" i="35"/>
  <c r="K309" i="35"/>
  <c r="L309" i="35" s="1"/>
  <c r="J304" i="35"/>
  <c r="K301" i="35"/>
  <c r="L301" i="35" s="1"/>
  <c r="J296" i="35"/>
  <c r="K293" i="35"/>
  <c r="L293" i="35" s="1"/>
  <c r="J288" i="35"/>
  <c r="K285" i="35"/>
  <c r="L285" i="35" s="1"/>
  <c r="J280" i="35"/>
  <c r="K277" i="35"/>
  <c r="L277" i="35" s="1"/>
  <c r="J272" i="35"/>
  <c r="K269" i="35"/>
  <c r="L269" i="35" s="1"/>
  <c r="J264" i="35"/>
  <c r="K261" i="35"/>
  <c r="L261" i="35" s="1"/>
  <c r="J256" i="35"/>
  <c r="K253" i="35"/>
  <c r="L253" i="35" s="1"/>
  <c r="J248" i="35"/>
  <c r="K245" i="35"/>
  <c r="L245" i="35" s="1"/>
  <c r="J240" i="35"/>
  <c r="K237" i="35"/>
  <c r="L237" i="35" s="1"/>
  <c r="J232" i="35"/>
  <c r="K229" i="35"/>
  <c r="L229" i="35" s="1"/>
  <c r="J224" i="35"/>
  <c r="K221" i="35"/>
  <c r="L221" i="35" s="1"/>
  <c r="J216" i="35"/>
  <c r="K213" i="35"/>
  <c r="L213" i="35" s="1"/>
  <c r="J208" i="35"/>
  <c r="K205" i="35"/>
  <c r="L205" i="35" s="1"/>
  <c r="J200" i="35"/>
  <c r="K197" i="35"/>
  <c r="L197" i="35" s="1"/>
  <c r="K192" i="35"/>
  <c r="L192" i="35" s="1"/>
  <c r="J189" i="35"/>
  <c r="J187" i="35"/>
  <c r="K185" i="35"/>
  <c r="L183" i="35"/>
  <c r="J180" i="35"/>
  <c r="K178" i="35"/>
  <c r="K176" i="35"/>
  <c r="L176" i="35" s="1"/>
  <c r="J173" i="35"/>
  <c r="J171" i="35"/>
  <c r="K168" i="35"/>
  <c r="J167" i="35"/>
  <c r="K164" i="35"/>
  <c r="J163" i="35"/>
  <c r="K160" i="35"/>
  <c r="J159" i="35"/>
  <c r="K156" i="35"/>
  <c r="J155" i="35"/>
  <c r="K152" i="35"/>
  <c r="J151" i="35"/>
  <c r="K148" i="35"/>
  <c r="J147" i="35"/>
  <c r="K144" i="35"/>
  <c r="J143" i="35"/>
  <c r="K140" i="35"/>
  <c r="J139" i="35"/>
  <c r="K136" i="35"/>
  <c r="J135" i="35"/>
  <c r="K132" i="35"/>
  <c r="J131" i="35"/>
  <c r="K128" i="35"/>
  <c r="J127" i="35"/>
  <c r="K124" i="35"/>
  <c r="J123" i="35"/>
  <c r="K120" i="35"/>
  <c r="J119" i="35"/>
  <c r="K116" i="35"/>
  <c r="J115" i="35"/>
  <c r="K112" i="35"/>
  <c r="J111" i="35"/>
  <c r="K108" i="35"/>
  <c r="J107" i="35"/>
  <c r="K104" i="35"/>
  <c r="J103" i="35"/>
  <c r="K100" i="35"/>
  <c r="J99" i="35"/>
  <c r="K96" i="35"/>
  <c r="J95" i="35"/>
  <c r="K92" i="35"/>
  <c r="J91" i="35"/>
  <c r="K88" i="35"/>
  <c r="J87" i="35"/>
  <c r="K84" i="35"/>
  <c r="J83" i="35"/>
  <c r="K80" i="35"/>
  <c r="J79" i="35"/>
  <c r="K76" i="35"/>
  <c r="J75" i="35"/>
  <c r="K72" i="35"/>
  <c r="J71" i="35"/>
  <c r="K68" i="35"/>
  <c r="J67" i="35"/>
  <c r="K64" i="35"/>
  <c r="J63" i="35"/>
  <c r="K60" i="35"/>
  <c r="J59" i="35"/>
  <c r="K56" i="35"/>
  <c r="J55" i="35"/>
  <c r="K52" i="35"/>
  <c r="J51" i="35"/>
  <c r="K48" i="35"/>
  <c r="J47" i="35"/>
  <c r="K44" i="35"/>
  <c r="J43" i="35"/>
  <c r="K40" i="35"/>
  <c r="J39" i="35"/>
  <c r="K36" i="35"/>
  <c r="J35" i="35"/>
  <c r="L23" i="35"/>
  <c r="AA18" i="35"/>
  <c r="W18" i="35"/>
  <c r="S18" i="35"/>
  <c r="O18" i="35"/>
  <c r="F18" i="35"/>
  <c r="L674" i="35"/>
  <c r="J664" i="35"/>
  <c r="K653" i="35"/>
  <c r="L653" i="35" s="1"/>
  <c r="L642" i="35"/>
  <c r="J632" i="35"/>
  <c r="K621" i="35"/>
  <c r="L621" i="35" s="1"/>
  <c r="L610" i="35"/>
  <c r="J600" i="35"/>
  <c r="K589" i="35"/>
  <c r="L589" i="35" s="1"/>
  <c r="L578" i="35"/>
  <c r="J568" i="35"/>
  <c r="K557" i="35"/>
  <c r="L557" i="35" s="1"/>
  <c r="L546" i="35"/>
  <c r="J536" i="35"/>
  <c r="K525" i="35"/>
  <c r="L525" i="35" s="1"/>
  <c r="L514" i="35"/>
  <c r="J508" i="35"/>
  <c r="L502" i="35"/>
  <c r="K497" i="35"/>
  <c r="L497" i="35" s="1"/>
  <c r="J492" i="35"/>
  <c r="L486" i="35"/>
  <c r="K481" i="35"/>
  <c r="L481" i="35" s="1"/>
  <c r="J476" i="35"/>
  <c r="L470" i="35"/>
  <c r="K465" i="35"/>
  <c r="L465" i="35" s="1"/>
  <c r="J460" i="35"/>
  <c r="L454" i="35"/>
  <c r="K449" i="35"/>
  <c r="L449" i="35" s="1"/>
  <c r="J444" i="35"/>
  <c r="L438" i="35"/>
  <c r="K433" i="35"/>
  <c r="L433" i="35" s="1"/>
  <c r="J428" i="35"/>
  <c r="J424" i="35"/>
  <c r="J421" i="35"/>
  <c r="K418" i="35"/>
  <c r="L418" i="35" s="1"/>
  <c r="L415" i="35"/>
  <c r="J413" i="35"/>
  <c r="K410" i="35"/>
  <c r="L410" i="35" s="1"/>
  <c r="L407" i="35"/>
  <c r="J405" i="35"/>
  <c r="K402" i="35"/>
  <c r="L402" i="35" s="1"/>
  <c r="L399" i="35"/>
  <c r="J397" i="35"/>
  <c r="K394" i="35"/>
  <c r="L394" i="35" s="1"/>
  <c r="L391" i="35"/>
  <c r="J389" i="35"/>
  <c r="K386" i="35"/>
  <c r="L386" i="35" s="1"/>
  <c r="L383" i="35"/>
  <c r="J381" i="35"/>
  <c r="K378" i="35"/>
  <c r="L378" i="35" s="1"/>
  <c r="L375" i="35"/>
  <c r="J373" i="35"/>
  <c r="K370" i="35"/>
  <c r="L370" i="35" s="1"/>
  <c r="L367" i="35"/>
  <c r="J365" i="35"/>
  <c r="K362" i="35"/>
  <c r="L362" i="35" s="1"/>
  <c r="L359" i="35"/>
  <c r="J357" i="35"/>
  <c r="K354" i="35"/>
  <c r="L354" i="35" s="1"/>
  <c r="L351" i="35"/>
  <c r="J349" i="35"/>
  <c r="K346" i="35"/>
  <c r="L346" i="35" s="1"/>
  <c r="L343" i="35"/>
  <c r="J341" i="35"/>
  <c r="K338" i="35"/>
  <c r="L338" i="35" s="1"/>
  <c r="L335" i="35"/>
  <c r="J333" i="35"/>
  <c r="K330" i="35"/>
  <c r="L330" i="35" s="1"/>
  <c r="L327" i="35"/>
  <c r="J325" i="35"/>
  <c r="K322" i="35"/>
  <c r="L322" i="35" s="1"/>
  <c r="L319" i="35"/>
  <c r="J317" i="35"/>
  <c r="K314" i="35"/>
  <c r="L314" i="35" s="1"/>
  <c r="L311" i="35"/>
  <c r="J309" i="35"/>
  <c r="K306" i="35"/>
  <c r="L306" i="35" s="1"/>
  <c r="L303" i="35"/>
  <c r="J301" i="35"/>
  <c r="K298" i="35"/>
  <c r="L298" i="35" s="1"/>
  <c r="L295" i="35"/>
  <c r="J293" i="35"/>
  <c r="K290" i="35"/>
  <c r="L290" i="35" s="1"/>
  <c r="L287" i="35"/>
  <c r="J285" i="35"/>
  <c r="K282" i="35"/>
  <c r="L282" i="35" s="1"/>
  <c r="L279" i="35"/>
  <c r="J277" i="35"/>
  <c r="K274" i="35"/>
  <c r="L274" i="35" s="1"/>
  <c r="L271" i="35"/>
  <c r="J269" i="35"/>
  <c r="K266" i="35"/>
  <c r="L266" i="35" s="1"/>
  <c r="L263" i="35"/>
  <c r="J261" i="35"/>
  <c r="K258" i="35"/>
  <c r="L258" i="35" s="1"/>
  <c r="L255" i="35"/>
  <c r="J253" i="35"/>
  <c r="K250" i="35"/>
  <c r="L250" i="35" s="1"/>
  <c r="L247" i="35"/>
  <c r="J245" i="35"/>
  <c r="K242" i="35"/>
  <c r="L242" i="35" s="1"/>
  <c r="L239" i="35"/>
  <c r="J237" i="35"/>
  <c r="K234" i="35"/>
  <c r="L234" i="35" s="1"/>
  <c r="L231" i="35"/>
  <c r="J229" i="35"/>
  <c r="K226" i="35"/>
  <c r="L226" i="35" s="1"/>
  <c r="L223" i="35"/>
  <c r="J221" i="35"/>
  <c r="K218" i="35"/>
  <c r="L218" i="35" s="1"/>
  <c r="L215" i="35"/>
  <c r="J213" i="35"/>
  <c r="K210" i="35"/>
  <c r="L210" i="35" s="1"/>
  <c r="L207" i="35"/>
  <c r="J205" i="35"/>
  <c r="K202" i="35"/>
  <c r="L202" i="35" s="1"/>
  <c r="L199" i="35"/>
  <c r="J197" i="35"/>
  <c r="K194" i="35"/>
  <c r="L194" i="35" s="1"/>
  <c r="J192" i="35"/>
  <c r="K190" i="35"/>
  <c r="L190" i="35" s="1"/>
  <c r="K188" i="35"/>
  <c r="L188" i="35" s="1"/>
  <c r="J185" i="35"/>
  <c r="J183" i="35"/>
  <c r="K181" i="35"/>
  <c r="L181" i="35" s="1"/>
  <c r="L179" i="35"/>
  <c r="J176" i="35"/>
  <c r="K174" i="35"/>
  <c r="L174" i="35" s="1"/>
  <c r="K172" i="35"/>
  <c r="L172" i="35" s="1"/>
  <c r="K169" i="35"/>
  <c r="L169" i="35" s="1"/>
  <c r="J168" i="35"/>
  <c r="K165" i="35"/>
  <c r="L165" i="35" s="1"/>
  <c r="J164" i="35"/>
  <c r="K161" i="35"/>
  <c r="L161" i="35" s="1"/>
  <c r="J160" i="35"/>
  <c r="K157" i="35"/>
  <c r="L157" i="35" s="1"/>
  <c r="J156" i="35"/>
  <c r="K153" i="35"/>
  <c r="L153" i="35" s="1"/>
  <c r="J152" i="35"/>
  <c r="K149" i="35"/>
  <c r="L149" i="35" s="1"/>
  <c r="J148" i="35"/>
  <c r="K145" i="35"/>
  <c r="L145" i="35" s="1"/>
  <c r="J144" i="35"/>
  <c r="K141" i="35"/>
  <c r="L141" i="35" s="1"/>
  <c r="J140" i="35"/>
  <c r="K137" i="35"/>
  <c r="L137" i="35" s="1"/>
  <c r="J136" i="35"/>
  <c r="K133" i="35"/>
  <c r="L133" i="35" s="1"/>
  <c r="J132" i="35"/>
  <c r="K129" i="35"/>
  <c r="L129" i="35" s="1"/>
  <c r="J128" i="35"/>
  <c r="K125" i="35"/>
  <c r="L125" i="35" s="1"/>
  <c r="J124" i="35"/>
  <c r="K121" i="35"/>
  <c r="L121" i="35" s="1"/>
  <c r="J120" i="35"/>
  <c r="K117" i="35"/>
  <c r="L117" i="35" s="1"/>
  <c r="J116" i="35"/>
  <c r="K113" i="35"/>
  <c r="L113" i="35" s="1"/>
  <c r="J112" i="35"/>
  <c r="K109" i="35"/>
  <c r="L109" i="35" s="1"/>
  <c r="J108" i="35"/>
  <c r="K105" i="35"/>
  <c r="L105" i="35" s="1"/>
  <c r="J104" i="35"/>
  <c r="K101" i="35"/>
  <c r="L101" i="35" s="1"/>
  <c r="J100" i="35"/>
  <c r="K97" i="35"/>
  <c r="L97" i="35" s="1"/>
  <c r="J96" i="35"/>
  <c r="K93" i="35"/>
  <c r="L93" i="35" s="1"/>
  <c r="J92" i="35"/>
  <c r="K89" i="35"/>
  <c r="L89" i="35" s="1"/>
  <c r="J88" i="35"/>
  <c r="K85" i="35"/>
  <c r="L85" i="35" s="1"/>
  <c r="J84" i="35"/>
  <c r="K81" i="35"/>
  <c r="L81" i="35" s="1"/>
  <c r="J80" i="35"/>
  <c r="K77" i="35"/>
  <c r="L77" i="35" s="1"/>
  <c r="J76" i="35"/>
  <c r="K73" i="35"/>
  <c r="L73" i="35" s="1"/>
  <c r="J72" i="35"/>
  <c r="K69" i="35"/>
  <c r="L69" i="35" s="1"/>
  <c r="J68" i="35"/>
  <c r="K65" i="35"/>
  <c r="L65" i="35" s="1"/>
  <c r="J64" i="35"/>
  <c r="K61" i="35"/>
  <c r="L61" i="35" s="1"/>
  <c r="J60" i="35"/>
  <c r="K57" i="35"/>
  <c r="L57" i="35" s="1"/>
  <c r="J56" i="35"/>
  <c r="K53" i="35"/>
  <c r="L53" i="35" s="1"/>
  <c r="J52" i="35"/>
  <c r="K49" i="35"/>
  <c r="L49" i="35" s="1"/>
  <c r="J48" i="35"/>
  <c r="K45" i="35"/>
  <c r="L45" i="35" s="1"/>
  <c r="J44" i="35"/>
  <c r="K41" i="35"/>
  <c r="L41" i="35" s="1"/>
  <c r="J40" i="35"/>
  <c r="K37" i="35"/>
  <c r="L37" i="35" s="1"/>
  <c r="J36" i="35"/>
  <c r="O31" i="35"/>
  <c r="F19" i="35"/>
  <c r="Z18" i="35"/>
  <c r="V18" i="35"/>
  <c r="R18" i="35"/>
  <c r="N18" i="35"/>
  <c r="E18" i="35"/>
  <c r="K648" i="35"/>
  <c r="L648" i="35" s="1"/>
  <c r="J627" i="35"/>
  <c r="K584" i="35"/>
  <c r="L584" i="35" s="1"/>
  <c r="J563" i="35"/>
  <c r="K520" i="35"/>
  <c r="L520" i="35" s="1"/>
  <c r="J495" i="35"/>
  <c r="K484" i="35"/>
  <c r="L484" i="35" s="1"/>
  <c r="J463" i="35"/>
  <c r="K452" i="35"/>
  <c r="L452" i="35" s="1"/>
  <c r="J431" i="35"/>
  <c r="K417" i="35"/>
  <c r="L417" i="35" s="1"/>
  <c r="J412" i="35"/>
  <c r="K401" i="35"/>
  <c r="L401" i="35" s="1"/>
  <c r="J396" i="35"/>
  <c r="K385" i="35"/>
  <c r="L385" i="35" s="1"/>
  <c r="J380" i="35"/>
  <c r="K369" i="35"/>
  <c r="L369" i="35" s="1"/>
  <c r="J364" i="35"/>
  <c r="K353" i="35"/>
  <c r="L353" i="35" s="1"/>
  <c r="J348" i="35"/>
  <c r="K337" i="35"/>
  <c r="L337" i="35" s="1"/>
  <c r="J332" i="35"/>
  <c r="K321" i="35"/>
  <c r="L321" i="35" s="1"/>
  <c r="J316" i="35"/>
  <c r="K305" i="35"/>
  <c r="L305" i="35" s="1"/>
  <c r="J300" i="35"/>
  <c r="K289" i="35"/>
  <c r="L289" i="35" s="1"/>
  <c r="J284" i="35"/>
  <c r="K273" i="35"/>
  <c r="L273" i="35" s="1"/>
  <c r="J268" i="35"/>
  <c r="K257" i="35"/>
  <c r="L257" i="35" s="1"/>
  <c r="J252" i="35"/>
  <c r="K241" i="35"/>
  <c r="L241" i="35" s="1"/>
  <c r="J236" i="35"/>
  <c r="K225" i="35"/>
  <c r="L225" i="35" s="1"/>
  <c r="J220" i="35"/>
  <c r="K209" i="35"/>
  <c r="L209" i="35" s="1"/>
  <c r="J204" i="35"/>
  <c r="K193" i="35"/>
  <c r="L193" i="35" s="1"/>
  <c r="K186" i="35"/>
  <c r="L186" i="35" s="1"/>
  <c r="J179" i="35"/>
  <c r="L175" i="35"/>
  <c r="J172" i="35"/>
  <c r="J169" i="35"/>
  <c r="K166" i="35"/>
  <c r="L166" i="35" s="1"/>
  <c r="J161" i="35"/>
  <c r="K158" i="35"/>
  <c r="L158" i="35" s="1"/>
  <c r="J153" i="35"/>
  <c r="K150" i="35"/>
  <c r="L150" i="35" s="1"/>
  <c r="J145" i="35"/>
  <c r="K142" i="35"/>
  <c r="L142" i="35" s="1"/>
  <c r="J137" i="35"/>
  <c r="K134" i="35"/>
  <c r="L134" i="35" s="1"/>
  <c r="J129" i="35"/>
  <c r="K126" i="35"/>
  <c r="L126" i="35" s="1"/>
  <c r="J121" i="35"/>
  <c r="K118" i="35"/>
  <c r="L118" i="35" s="1"/>
  <c r="J113" i="35"/>
  <c r="K110" i="35"/>
  <c r="L110" i="35" s="1"/>
  <c r="J105" i="35"/>
  <c r="K102" i="35"/>
  <c r="L102" i="35" s="1"/>
  <c r="J97" i="35"/>
  <c r="K94" i="35"/>
  <c r="L94" i="35" s="1"/>
  <c r="J89" i="35"/>
  <c r="K86" i="35"/>
  <c r="L86" i="35" s="1"/>
  <c r="J81" i="35"/>
  <c r="K78" i="35"/>
  <c r="L78" i="35" s="1"/>
  <c r="J73" i="35"/>
  <c r="K70" i="35"/>
  <c r="L70" i="35" s="1"/>
  <c r="J65" i="35"/>
  <c r="K62" i="35"/>
  <c r="L62" i="35" s="1"/>
  <c r="J57" i="35"/>
  <c r="K54" i="35"/>
  <c r="L54" i="35" s="1"/>
  <c r="J49" i="35"/>
  <c r="K46" i="35"/>
  <c r="L46" i="35" s="1"/>
  <c r="J41" i="35"/>
  <c r="K38" i="35"/>
  <c r="L38" i="35" s="1"/>
  <c r="L24" i="35"/>
  <c r="E19" i="35"/>
  <c r="U18" i="35"/>
  <c r="M18" i="35"/>
  <c r="L17" i="35"/>
  <c r="L16" i="35"/>
  <c r="F15" i="35"/>
  <c r="B14" i="35"/>
  <c r="B10" i="35"/>
  <c r="M4" i="35"/>
  <c r="H3" i="35"/>
  <c r="J511" i="35"/>
  <c r="J479" i="35"/>
  <c r="K436" i="35"/>
  <c r="L436" i="35" s="1"/>
  <c r="J420" i="35"/>
  <c r="K409" i="35"/>
  <c r="L409" i="35" s="1"/>
  <c r="J388" i="35"/>
  <c r="K377" i="35"/>
  <c r="L377" i="35" s="1"/>
  <c r="K361" i="35"/>
  <c r="L361" i="35" s="1"/>
  <c r="J340" i="35"/>
  <c r="J324" i="35"/>
  <c r="K313" i="35"/>
  <c r="L313" i="35" s="1"/>
  <c r="J292" i="35"/>
  <c r="K281" i="35"/>
  <c r="L281" i="35" s="1"/>
  <c r="J260" i="35"/>
  <c r="K249" i="35"/>
  <c r="L249" i="35" s="1"/>
  <c r="J228" i="35"/>
  <c r="K217" i="35"/>
  <c r="L217" i="35" s="1"/>
  <c r="K201" i="35"/>
  <c r="L201" i="35" s="1"/>
  <c r="L191" i="35"/>
  <c r="K184" i="35"/>
  <c r="L184" i="35" s="1"/>
  <c r="K177" i="35"/>
  <c r="L177" i="35" s="1"/>
  <c r="K162" i="35"/>
  <c r="L162" i="35" s="1"/>
  <c r="J157" i="35"/>
  <c r="K146" i="35"/>
  <c r="L146" i="35" s="1"/>
  <c r="K138" i="35"/>
  <c r="L138" i="35" s="1"/>
  <c r="J133" i="35"/>
  <c r="K122" i="35"/>
  <c r="L122" i="35" s="1"/>
  <c r="J117" i="35"/>
  <c r="K106" i="35"/>
  <c r="L106" i="35" s="1"/>
  <c r="K98" i="35"/>
  <c r="L98" i="35" s="1"/>
  <c r="J93" i="35"/>
  <c r="K82" i="35"/>
  <c r="L82" i="35" s="1"/>
  <c r="K74" i="35"/>
  <c r="L74" i="35" s="1"/>
  <c r="J69" i="35"/>
  <c r="K58" i="35"/>
  <c r="L58" i="35" s="1"/>
  <c r="J53" i="35"/>
  <c r="K42" i="35"/>
  <c r="L42" i="35" s="1"/>
  <c r="J37" i="35"/>
  <c r="L22" i="35"/>
  <c r="Q18" i="35"/>
  <c r="O17" i="35"/>
  <c r="F10" i="35"/>
  <c r="F7" i="35"/>
  <c r="H1" i="35"/>
  <c r="L658" i="35"/>
  <c r="J616" i="35"/>
  <c r="L594" i="35"/>
  <c r="K573" i="35"/>
  <c r="J552" i="35"/>
  <c r="L530" i="35"/>
  <c r="L510" i="35"/>
  <c r="J500" i="35"/>
  <c r="L478" i="35"/>
  <c r="K457" i="35"/>
  <c r="L457" i="35" s="1"/>
  <c r="J436" i="35"/>
  <c r="L419" i="35"/>
  <c r="J409" i="35"/>
  <c r="J393" i="35"/>
  <c r="K382" i="35"/>
  <c r="L371" i="35"/>
  <c r="J361" i="35"/>
  <c r="K350" i="35"/>
  <c r="L350" i="35" s="1"/>
  <c r="L339" i="35"/>
  <c r="K334" i="35"/>
  <c r="L323" i="35"/>
  <c r="J313" i="35"/>
  <c r="K302" i="35"/>
  <c r="L302" i="35" s="1"/>
  <c r="L291" i="35"/>
  <c r="J281" i="35"/>
  <c r="K270" i="35"/>
  <c r="L270" i="35" s="1"/>
  <c r="L259" i="35"/>
  <c r="J249" i="35"/>
  <c r="K238" i="35"/>
  <c r="L238" i="35" s="1"/>
  <c r="K222" i="35"/>
  <c r="L211" i="35"/>
  <c r="J201" i="35"/>
  <c r="J191" i="35"/>
  <c r="J184" i="35"/>
  <c r="J177" i="35"/>
  <c r="J170" i="35"/>
  <c r="L164" i="35"/>
  <c r="J162" i="35"/>
  <c r="L156" i="35"/>
  <c r="K151" i="35"/>
  <c r="L151" i="35" s="1"/>
  <c r="K143" i="35"/>
  <c r="J138" i="35"/>
  <c r="L132" i="35"/>
  <c r="K127" i="35"/>
  <c r="L127" i="35" s="1"/>
  <c r="K119" i="35"/>
  <c r="J114" i="35"/>
  <c r="L108" i="35"/>
  <c r="K103" i="35"/>
  <c r="J98" i="35"/>
  <c r="L92" i="35"/>
  <c r="J90" i="35"/>
  <c r="L84" i="35"/>
  <c r="K79" i="35"/>
  <c r="L79" i="35" s="1"/>
  <c r="J74" i="35"/>
  <c r="L68" i="35"/>
  <c r="K63" i="35"/>
  <c r="L63" i="35" s="1"/>
  <c r="J58" i="35"/>
  <c r="L52" i="35"/>
  <c r="K47" i="35"/>
  <c r="L47" i="35" s="1"/>
  <c r="J42" i="35"/>
  <c r="L36" i="35"/>
  <c r="F20" i="35"/>
  <c r="E20" i="35" s="1"/>
  <c r="P18" i="35"/>
  <c r="E10" i="35"/>
  <c r="E7" i="35"/>
  <c r="B1" i="35"/>
  <c r="K669" i="35"/>
  <c r="L669" i="35" s="1"/>
  <c r="J648" i="35"/>
  <c r="L626" i="35"/>
  <c r="K605" i="35"/>
  <c r="L605" i="35" s="1"/>
  <c r="J584" i="35"/>
  <c r="L562" i="35"/>
  <c r="K541" i="35"/>
  <c r="L541" i="35" s="1"/>
  <c r="J520" i="35"/>
  <c r="K505" i="35"/>
  <c r="L505" i="35" s="1"/>
  <c r="L494" i="35"/>
  <c r="J484" i="35"/>
  <c r="K473" i="35"/>
  <c r="L473" i="35" s="1"/>
  <c r="L462" i="35"/>
  <c r="J452" i="35"/>
  <c r="K441" i="35"/>
  <c r="L441" i="35" s="1"/>
  <c r="L430" i="35"/>
  <c r="K422" i="35"/>
  <c r="L422" i="35" s="1"/>
  <c r="J417" i="35"/>
  <c r="L411" i="35"/>
  <c r="K406" i="35"/>
  <c r="L406" i="35" s="1"/>
  <c r="J401" i="35"/>
  <c r="L395" i="35"/>
  <c r="K390" i="35"/>
  <c r="L390" i="35" s="1"/>
  <c r="J385" i="35"/>
  <c r="L379" i="35"/>
  <c r="K374" i="35"/>
  <c r="L374" i="35" s="1"/>
  <c r="J369" i="35"/>
  <c r="L363" i="35"/>
  <c r="K358" i="35"/>
  <c r="L358" i="35" s="1"/>
  <c r="J353" i="35"/>
  <c r="L347" i="35"/>
  <c r="K342" i="35"/>
  <c r="L342" i="35" s="1"/>
  <c r="J337" i="35"/>
  <c r="L331" i="35"/>
  <c r="K326" i="35"/>
  <c r="L326" i="35" s="1"/>
  <c r="J321" i="35"/>
  <c r="L315" i="35"/>
  <c r="K310" i="35"/>
  <c r="L310" i="35" s="1"/>
  <c r="J305" i="35"/>
  <c r="L299" i="35"/>
  <c r="K294" i="35"/>
  <c r="L294" i="35" s="1"/>
  <c r="J289" i="35"/>
  <c r="L283" i="35"/>
  <c r="K278" i="35"/>
  <c r="L278" i="35" s="1"/>
  <c r="J273" i="35"/>
  <c r="L267" i="35"/>
  <c r="K262" i="35"/>
  <c r="L262" i="35" s="1"/>
  <c r="J257" i="35"/>
  <c r="L251" i="35"/>
  <c r="K246" i="35"/>
  <c r="L246" i="35" s="1"/>
  <c r="J241" i="35"/>
  <c r="L235" i="35"/>
  <c r="K230" i="35"/>
  <c r="L230" i="35" s="1"/>
  <c r="J225" i="35"/>
  <c r="L219" i="35"/>
  <c r="K214" i="35"/>
  <c r="L214" i="35" s="1"/>
  <c r="J209" i="35"/>
  <c r="L203" i="35"/>
  <c r="K198" i="35"/>
  <c r="L198" i="35" s="1"/>
  <c r="J193" i="35"/>
  <c r="K189" i="35"/>
  <c r="L189" i="35" s="1"/>
  <c r="L185" i="35"/>
  <c r="K182" i="35"/>
  <c r="L182" i="35" s="1"/>
  <c r="L178" i="35"/>
  <c r="J175" i="35"/>
  <c r="L171" i="35"/>
  <c r="L168" i="35"/>
  <c r="J166" i="35"/>
  <c r="K163" i="35"/>
  <c r="L163" i="35" s="1"/>
  <c r="L160" i="35"/>
  <c r="J158" i="35"/>
  <c r="K155" i="35"/>
  <c r="L155" i="35" s="1"/>
  <c r="L152" i="35"/>
  <c r="J150" i="35"/>
  <c r="K147" i="35"/>
  <c r="L147" i="35" s="1"/>
  <c r="L144" i="35"/>
  <c r="J142" i="35"/>
  <c r="K139" i="35"/>
  <c r="L139" i="35" s="1"/>
  <c r="L136" i="35"/>
  <c r="J134" i="35"/>
  <c r="K131" i="35"/>
  <c r="L131" i="35" s="1"/>
  <c r="L128" i="35"/>
  <c r="J126" i="35"/>
  <c r="K123" i="35"/>
  <c r="L123" i="35" s="1"/>
  <c r="L120" i="35"/>
  <c r="J118" i="35"/>
  <c r="K115" i="35"/>
  <c r="L115" i="35" s="1"/>
  <c r="L112" i="35"/>
  <c r="J110" i="35"/>
  <c r="K107" i="35"/>
  <c r="L107" i="35" s="1"/>
  <c r="L104" i="35"/>
  <c r="J102" i="35"/>
  <c r="K99" i="35"/>
  <c r="L99" i="35" s="1"/>
  <c r="L96" i="35"/>
  <c r="J94" i="35"/>
  <c r="K91" i="35"/>
  <c r="L91" i="35" s="1"/>
  <c r="L88" i="35"/>
  <c r="J86" i="35"/>
  <c r="K83" i="35"/>
  <c r="L83" i="35" s="1"/>
  <c r="L80" i="35"/>
  <c r="J78" i="35"/>
  <c r="K75" i="35"/>
  <c r="L75" i="35" s="1"/>
  <c r="L72" i="35"/>
  <c r="J70" i="35"/>
  <c r="K67" i="35"/>
  <c r="L67" i="35" s="1"/>
  <c r="L64" i="35"/>
  <c r="J62" i="35"/>
  <c r="K59" i="35"/>
  <c r="L59" i="35" s="1"/>
  <c r="L56" i="35"/>
  <c r="J54" i="35"/>
  <c r="K51" i="35"/>
  <c r="L51" i="35" s="1"/>
  <c r="L48" i="35"/>
  <c r="J46" i="35"/>
  <c r="K43" i="35"/>
  <c r="L43" i="35" s="1"/>
  <c r="L40" i="35"/>
  <c r="J38" i="35"/>
  <c r="K35" i="35"/>
  <c r="L35" i="35" s="1"/>
  <c r="O23" i="35"/>
  <c r="AB18" i="35"/>
  <c r="T18" i="35"/>
  <c r="L18" i="35"/>
  <c r="F17" i="35"/>
  <c r="E17" i="35" s="1"/>
  <c r="F16" i="35"/>
  <c r="E15" i="35"/>
  <c r="F13" i="35"/>
  <c r="B12" i="35"/>
  <c r="B11" i="35"/>
  <c r="F9" i="35"/>
  <c r="E9" i="35" s="1"/>
  <c r="F6" i="35"/>
  <c r="E6" i="35" s="1"/>
  <c r="L4" i="35"/>
  <c r="J659" i="35"/>
  <c r="K616" i="35"/>
  <c r="L616" i="35" s="1"/>
  <c r="J595" i="35"/>
  <c r="L573" i="35"/>
  <c r="K552" i="35"/>
  <c r="L552" i="35" s="1"/>
  <c r="J531" i="35"/>
  <c r="K500" i="35"/>
  <c r="L500" i="35" s="1"/>
  <c r="K468" i="35"/>
  <c r="L468" i="35" s="1"/>
  <c r="J447" i="35"/>
  <c r="J426" i="35"/>
  <c r="J404" i="35"/>
  <c r="K393" i="35"/>
  <c r="L393" i="35" s="1"/>
  <c r="L382" i="35"/>
  <c r="J372" i="35"/>
  <c r="J356" i="35"/>
  <c r="K345" i="35"/>
  <c r="L345" i="35" s="1"/>
  <c r="L334" i="35"/>
  <c r="K329" i="35"/>
  <c r="L329" i="35" s="1"/>
  <c r="J308" i="35"/>
  <c r="K297" i="35"/>
  <c r="L297" i="35" s="1"/>
  <c r="J276" i="35"/>
  <c r="K265" i="35"/>
  <c r="L265" i="35" s="1"/>
  <c r="J244" i="35"/>
  <c r="K233" i="35"/>
  <c r="L233" i="35" s="1"/>
  <c r="L222" i="35"/>
  <c r="J212" i="35"/>
  <c r="J196" i="35"/>
  <c r="J188" i="35"/>
  <c r="J181" i="35"/>
  <c r="K170" i="35"/>
  <c r="L170" i="35" s="1"/>
  <c r="J165" i="35"/>
  <c r="K154" i="35"/>
  <c r="L154" i="35" s="1"/>
  <c r="J149" i="35"/>
  <c r="L143" i="35"/>
  <c r="J141" i="35"/>
  <c r="K130" i="35"/>
  <c r="L130" i="35" s="1"/>
  <c r="J125" i="35"/>
  <c r="L119" i="35"/>
  <c r="K114" i="35"/>
  <c r="L114" i="35" s="1"/>
  <c r="J109" i="35"/>
  <c r="L103" i="35"/>
  <c r="J101" i="35"/>
  <c r="K90" i="35"/>
  <c r="L90" i="35" s="1"/>
  <c r="J85" i="35"/>
  <c r="J77" i="35"/>
  <c r="K66" i="35"/>
  <c r="L66" i="35" s="1"/>
  <c r="J61" i="35"/>
  <c r="K50" i="35"/>
  <c r="L50" i="35" s="1"/>
  <c r="J45" i="35"/>
  <c r="K34" i="35"/>
  <c r="L34" i="35" s="1"/>
  <c r="N31" i="35"/>
  <c r="Y18" i="35"/>
  <c r="E16" i="35"/>
  <c r="F14" i="35"/>
  <c r="E13" i="35"/>
  <c r="K637" i="35"/>
  <c r="L637" i="35" s="1"/>
  <c r="K489" i="35"/>
  <c r="L489" i="35" s="1"/>
  <c r="J468" i="35"/>
  <c r="L446" i="35"/>
  <c r="L425" i="35"/>
  <c r="K414" i="35"/>
  <c r="L414" i="35" s="1"/>
  <c r="L403" i="35"/>
  <c r="K398" i="35"/>
  <c r="L398" i="35" s="1"/>
  <c r="L387" i="35"/>
  <c r="J377" i="35"/>
  <c r="K366" i="35"/>
  <c r="L366" i="35" s="1"/>
  <c r="L355" i="35"/>
  <c r="J345" i="35"/>
  <c r="J329" i="35"/>
  <c r="K318" i="35"/>
  <c r="L318" i="35" s="1"/>
  <c r="L307" i="35"/>
  <c r="J297" i="35"/>
  <c r="K286" i="35"/>
  <c r="L286" i="35" s="1"/>
  <c r="L275" i="35"/>
  <c r="J265" i="35"/>
  <c r="K254" i="35"/>
  <c r="L254" i="35" s="1"/>
  <c r="L243" i="35"/>
  <c r="J233" i="35"/>
  <c r="L227" i="35"/>
  <c r="J217" i="35"/>
  <c r="K206" i="35"/>
  <c r="L206" i="35" s="1"/>
  <c r="L195" i="35"/>
  <c r="L187" i="35"/>
  <c r="K180" i="35"/>
  <c r="L180" i="35" s="1"/>
  <c r="K173" i="35"/>
  <c r="L173" i="35" s="1"/>
  <c r="K167" i="35"/>
  <c r="L167" i="35" s="1"/>
  <c r="K159" i="35"/>
  <c r="L159" i="35" s="1"/>
  <c r="J154" i="35"/>
  <c r="L148" i="35"/>
  <c r="J146" i="35"/>
  <c r="L140" i="35"/>
  <c r="K135" i="35"/>
  <c r="L135" i="35" s="1"/>
  <c r="J130" i="35"/>
  <c r="L124" i="35"/>
  <c r="J122" i="35"/>
  <c r="L116" i="35"/>
  <c r="K111" i="35"/>
  <c r="L111" i="35" s="1"/>
  <c r="J106" i="35"/>
  <c r="L100" i="35"/>
  <c r="K95" i="35"/>
  <c r="L95" i="35" s="1"/>
  <c r="K87" i="35"/>
  <c r="L87" i="35" s="1"/>
  <c r="J82" i="35"/>
  <c r="L76" i="35"/>
  <c r="K71" i="35"/>
  <c r="L71" i="35" s="1"/>
  <c r="J66" i="35"/>
  <c r="L60" i="35"/>
  <c r="K55" i="35"/>
  <c r="L55" i="35" s="1"/>
  <c r="J50" i="35"/>
  <c r="L44" i="35"/>
  <c r="K39" i="35"/>
  <c r="L39" i="35" s="1"/>
  <c r="J34" i="35"/>
  <c r="X18" i="35"/>
  <c r="E14" i="35"/>
  <c r="F12" i="35"/>
  <c r="E12" i="35" s="1"/>
  <c r="F11" i="35"/>
  <c r="E11" i="35" s="1"/>
  <c r="H2" i="35"/>
  <c r="L26" i="35"/>
  <c r="O24" i="35"/>
  <c r="O22" i="35"/>
  <c r="N14" i="35" l="1"/>
  <c r="F8" i="35"/>
  <c r="E8" i="35"/>
  <c r="H4" i="35"/>
  <c r="AA14" i="35"/>
  <c r="W14" i="35"/>
  <c r="S14" i="35"/>
  <c r="X14" i="35"/>
  <c r="P14" i="35"/>
  <c r="Z14" i="35"/>
  <c r="V14" i="35"/>
  <c r="R14" i="35"/>
  <c r="Y14" i="35"/>
  <c r="U14" i="35"/>
  <c r="Q14" i="35"/>
  <c r="AB14" i="35"/>
  <c r="T14" i="35"/>
  <c r="Y13" i="35"/>
  <c r="U13" i="35"/>
  <c r="Q13" i="35"/>
  <c r="Z13" i="35"/>
  <c r="V13" i="35"/>
  <c r="R13" i="35"/>
  <c r="AB13" i="35"/>
  <c r="X13" i="35"/>
  <c r="T13" i="35"/>
  <c r="P13" i="35"/>
  <c r="AA13" i="35"/>
  <c r="W13" i="35"/>
  <c r="S13" i="35"/>
  <c r="O13" i="35"/>
  <c r="D6" i="35"/>
  <c r="D7" i="35"/>
  <c r="B16" i="35"/>
  <c r="N17" i="35"/>
  <c r="AB31" i="35"/>
  <c r="AA31" i="35"/>
  <c r="R31" i="35"/>
  <c r="V31" i="35"/>
  <c r="Y31" i="35"/>
  <c r="R17" i="35"/>
  <c r="AB17" i="35"/>
  <c r="Q32" i="35"/>
  <c r="Q16" i="35"/>
  <c r="Q11" i="35" s="1"/>
  <c r="AB16" i="35"/>
  <c r="AB32" i="35"/>
  <c r="N32" i="35"/>
  <c r="O16" i="35"/>
  <c r="O32" i="35"/>
  <c r="M31" i="35"/>
  <c r="X31" i="35"/>
  <c r="W31" i="35"/>
  <c r="AA17" i="35"/>
  <c r="U31" i="35"/>
  <c r="Q31" i="35"/>
  <c r="Y17" i="35"/>
  <c r="T17" i="35"/>
  <c r="Z16" i="35"/>
  <c r="Z11" i="35" s="1"/>
  <c r="Z32" i="35"/>
  <c r="X16" i="35"/>
  <c r="X11" i="35" s="1"/>
  <c r="X32" i="35"/>
  <c r="AA16" i="35"/>
  <c r="AA11" i="35" s="1"/>
  <c r="AA32" i="35"/>
  <c r="M32" i="35"/>
  <c r="B9" i="35"/>
  <c r="T31" i="35"/>
  <c r="S31" i="35"/>
  <c r="W17" i="35"/>
  <c r="X17" i="35"/>
  <c r="Z17" i="35"/>
  <c r="U17" i="35"/>
  <c r="Y32" i="35"/>
  <c r="Y16" i="35"/>
  <c r="Y11" i="35" s="1"/>
  <c r="V16" i="35"/>
  <c r="V11" i="35" s="1"/>
  <c r="V32" i="35"/>
  <c r="T16" i="35"/>
  <c r="T11" i="35" s="1"/>
  <c r="T32" i="35"/>
  <c r="W16" i="35"/>
  <c r="W11" i="35" s="1"/>
  <c r="W32" i="35"/>
  <c r="P31" i="35"/>
  <c r="Z31" i="35"/>
  <c r="S17" i="35"/>
  <c r="P17" i="35"/>
  <c r="V17" i="35"/>
  <c r="Q17" i="35"/>
  <c r="U16" i="35"/>
  <c r="U11" i="35" s="1"/>
  <c r="U32" i="35"/>
  <c r="R16" i="35"/>
  <c r="R11" i="35" s="1"/>
  <c r="R32" i="35"/>
  <c r="P16" i="35"/>
  <c r="P11" i="35" s="1"/>
  <c r="P32" i="35"/>
  <c r="S16" i="35"/>
  <c r="S11" i="35" s="1"/>
  <c r="S32" i="35"/>
  <c r="M13" i="35" l="1"/>
  <c r="M14" i="35"/>
  <c r="N13" i="35"/>
  <c r="J2" i="35"/>
  <c r="J3" i="35"/>
  <c r="J1" i="35"/>
  <c r="M16" i="35"/>
  <c r="M17" i="35"/>
  <c r="N16" i="35"/>
  <c r="Q2" i="34" l="1"/>
  <c r="B18" i="34"/>
  <c r="B17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D15" i="34"/>
  <c r="H4" i="34"/>
  <c r="J1" i="34" s="1"/>
  <c r="Q1" i="34"/>
  <c r="F36" i="33"/>
  <c r="I32" i="33"/>
  <c r="I31" i="33"/>
  <c r="H16" i="33"/>
  <c r="S3" i="33"/>
  <c r="K287" i="34"/>
  <c r="J286" i="34"/>
  <c r="K283" i="34"/>
  <c r="J282" i="34"/>
  <c r="K279" i="34"/>
  <c r="J278" i="34"/>
  <c r="K275" i="34"/>
  <c r="J274" i="34"/>
  <c r="K271" i="34"/>
  <c r="J270" i="34"/>
  <c r="K267" i="34"/>
  <c r="J266" i="34"/>
  <c r="K263" i="34"/>
  <c r="J262" i="34"/>
  <c r="K259" i="34"/>
  <c r="J258" i="34"/>
  <c r="K255" i="34"/>
  <c r="J254" i="34"/>
  <c r="K251" i="34"/>
  <c r="J250" i="34"/>
  <c r="K247" i="34"/>
  <c r="J246" i="34"/>
  <c r="K243" i="34"/>
  <c r="J242" i="34"/>
  <c r="K239" i="34"/>
  <c r="J238" i="34"/>
  <c r="K235" i="34"/>
  <c r="J234" i="34"/>
  <c r="K231" i="34"/>
  <c r="J230" i="34"/>
  <c r="K227" i="34"/>
  <c r="J226" i="34"/>
  <c r="K223" i="34"/>
  <c r="J222" i="34"/>
  <c r="K219" i="34"/>
  <c r="J218" i="34"/>
  <c r="K215" i="34"/>
  <c r="J214" i="34"/>
  <c r="K211" i="34"/>
  <c r="J210" i="34"/>
  <c r="K207" i="34"/>
  <c r="J206" i="34"/>
  <c r="K203" i="34"/>
  <c r="J202" i="34"/>
  <c r="K199" i="34"/>
  <c r="J198" i="34"/>
  <c r="K195" i="34"/>
  <c r="J194" i="34"/>
  <c r="K191" i="34"/>
  <c r="J190" i="34"/>
  <c r="K187" i="34"/>
  <c r="J186" i="34"/>
  <c r="K183" i="34"/>
  <c r="J182" i="34"/>
  <c r="K179" i="34"/>
  <c r="J178" i="34"/>
  <c r="K175" i="34"/>
  <c r="J174" i="34"/>
  <c r="K171" i="34"/>
  <c r="J170" i="34"/>
  <c r="K167" i="34"/>
  <c r="J166" i="34"/>
  <c r="K163" i="34"/>
  <c r="J162" i="34"/>
  <c r="K159" i="34"/>
  <c r="J158" i="34"/>
  <c r="K155" i="34"/>
  <c r="J154" i="34"/>
  <c r="K151" i="34"/>
  <c r="J150" i="34"/>
  <c r="K147" i="34"/>
  <c r="J146" i="34"/>
  <c r="K143" i="34"/>
  <c r="J142" i="34"/>
  <c r="K288" i="34"/>
  <c r="L288" i="34" s="1"/>
  <c r="J287" i="34"/>
  <c r="K284" i="34"/>
  <c r="L284" i="34" s="1"/>
  <c r="J283" i="34"/>
  <c r="K280" i="34"/>
  <c r="L280" i="34" s="1"/>
  <c r="J279" i="34"/>
  <c r="K276" i="34"/>
  <c r="L276" i="34" s="1"/>
  <c r="J275" i="34"/>
  <c r="K272" i="34"/>
  <c r="L272" i="34" s="1"/>
  <c r="J271" i="34"/>
  <c r="K268" i="34"/>
  <c r="L268" i="34" s="1"/>
  <c r="J267" i="34"/>
  <c r="K264" i="34"/>
  <c r="L264" i="34" s="1"/>
  <c r="J263" i="34"/>
  <c r="K260" i="34"/>
  <c r="L260" i="34" s="1"/>
  <c r="J259" i="34"/>
  <c r="K256" i="34"/>
  <c r="L256" i="34" s="1"/>
  <c r="J255" i="34"/>
  <c r="K252" i="34"/>
  <c r="L252" i="34" s="1"/>
  <c r="J251" i="34"/>
  <c r="K248" i="34"/>
  <c r="L248" i="34" s="1"/>
  <c r="J247" i="34"/>
  <c r="K244" i="34"/>
  <c r="L244" i="34" s="1"/>
  <c r="J243" i="34"/>
  <c r="K240" i="34"/>
  <c r="L240" i="34" s="1"/>
  <c r="J239" i="34"/>
  <c r="K236" i="34"/>
  <c r="L236" i="34" s="1"/>
  <c r="J235" i="34"/>
  <c r="K232" i="34"/>
  <c r="L232" i="34" s="1"/>
  <c r="J231" i="34"/>
  <c r="K228" i="34"/>
  <c r="L228" i="34" s="1"/>
  <c r="J227" i="34"/>
  <c r="K224" i="34"/>
  <c r="L224" i="34" s="1"/>
  <c r="J223" i="34"/>
  <c r="K220" i="34"/>
  <c r="L220" i="34" s="1"/>
  <c r="J219" i="34"/>
  <c r="K216" i="34"/>
  <c r="L216" i="34" s="1"/>
  <c r="J215" i="34"/>
  <c r="K212" i="34"/>
  <c r="L212" i="34" s="1"/>
  <c r="J211" i="34"/>
  <c r="K208" i="34"/>
  <c r="L208" i="34" s="1"/>
  <c r="J207" i="34"/>
  <c r="K204" i="34"/>
  <c r="L204" i="34" s="1"/>
  <c r="J203" i="34"/>
  <c r="K200" i="34"/>
  <c r="L200" i="34" s="1"/>
  <c r="J199" i="34"/>
  <c r="K196" i="34"/>
  <c r="L196" i="34" s="1"/>
  <c r="J195" i="34"/>
  <c r="K192" i="34"/>
  <c r="L192" i="34" s="1"/>
  <c r="J191" i="34"/>
  <c r="K188" i="34"/>
  <c r="L188" i="34" s="1"/>
  <c r="J187" i="34"/>
  <c r="K184" i="34"/>
  <c r="L184" i="34" s="1"/>
  <c r="J183" i="34"/>
  <c r="K180" i="34"/>
  <c r="L180" i="34" s="1"/>
  <c r="J179" i="34"/>
  <c r="K176" i="34"/>
  <c r="L176" i="34" s="1"/>
  <c r="J175" i="34"/>
  <c r="K172" i="34"/>
  <c r="L172" i="34" s="1"/>
  <c r="J171" i="34"/>
  <c r="K168" i="34"/>
  <c r="L168" i="34" s="1"/>
  <c r="J167" i="34"/>
  <c r="K164" i="34"/>
  <c r="L164" i="34" s="1"/>
  <c r="J163" i="34"/>
  <c r="K160" i="34"/>
  <c r="L160" i="34" s="1"/>
  <c r="J159" i="34"/>
  <c r="K156" i="34"/>
  <c r="L156" i="34" s="1"/>
  <c r="J155" i="34"/>
  <c r="K152" i="34"/>
  <c r="L152" i="34" s="1"/>
  <c r="J151" i="34"/>
  <c r="K148" i="34"/>
  <c r="L148" i="34" s="1"/>
  <c r="J147" i="34"/>
  <c r="K144" i="34"/>
  <c r="L144" i="34" s="1"/>
  <c r="J143" i="34"/>
  <c r="K140" i="34"/>
  <c r="L140" i="34" s="1"/>
  <c r="J139" i="34"/>
  <c r="K136" i="34"/>
  <c r="J135" i="34"/>
  <c r="K132" i="34"/>
  <c r="J131" i="34"/>
  <c r="K128" i="34"/>
  <c r="J127" i="34"/>
  <c r="K124" i="34"/>
  <c r="J123" i="34"/>
  <c r="K120" i="34"/>
  <c r="J288" i="34"/>
  <c r="K285" i="34"/>
  <c r="L285" i="34" s="1"/>
  <c r="J284" i="34"/>
  <c r="K281" i="34"/>
  <c r="L281" i="34" s="1"/>
  <c r="J280" i="34"/>
  <c r="K277" i="34"/>
  <c r="L277" i="34" s="1"/>
  <c r="J276" i="34"/>
  <c r="K273" i="34"/>
  <c r="L273" i="34" s="1"/>
  <c r="J272" i="34"/>
  <c r="K269" i="34"/>
  <c r="L269" i="34" s="1"/>
  <c r="J268" i="34"/>
  <c r="K265" i="34"/>
  <c r="L265" i="34" s="1"/>
  <c r="J264" i="34"/>
  <c r="K261" i="34"/>
  <c r="L261" i="34" s="1"/>
  <c r="J260" i="34"/>
  <c r="K257" i="34"/>
  <c r="L257" i="34" s="1"/>
  <c r="J256" i="34"/>
  <c r="K253" i="34"/>
  <c r="L253" i="34" s="1"/>
  <c r="J252" i="34"/>
  <c r="K249" i="34"/>
  <c r="L249" i="34" s="1"/>
  <c r="J248" i="34"/>
  <c r="K245" i="34"/>
  <c r="L245" i="34" s="1"/>
  <c r="J244" i="34"/>
  <c r="K241" i="34"/>
  <c r="L241" i="34" s="1"/>
  <c r="J240" i="34"/>
  <c r="K237" i="34"/>
  <c r="L237" i="34" s="1"/>
  <c r="J236" i="34"/>
  <c r="K233" i="34"/>
  <c r="L233" i="34" s="1"/>
  <c r="J232" i="34"/>
  <c r="K229" i="34"/>
  <c r="L229" i="34" s="1"/>
  <c r="J228" i="34"/>
  <c r="K225" i="34"/>
  <c r="L225" i="34" s="1"/>
  <c r="J224" i="34"/>
  <c r="K221" i="34"/>
  <c r="L221" i="34" s="1"/>
  <c r="J220" i="34"/>
  <c r="K217" i="34"/>
  <c r="L217" i="34" s="1"/>
  <c r="J216" i="34"/>
  <c r="K213" i="34"/>
  <c r="L213" i="34" s="1"/>
  <c r="J212" i="34"/>
  <c r="K209" i="34"/>
  <c r="L209" i="34" s="1"/>
  <c r="J208" i="34"/>
  <c r="K205" i="34"/>
  <c r="L205" i="34" s="1"/>
  <c r="J204" i="34"/>
  <c r="K201" i="34"/>
  <c r="L201" i="34" s="1"/>
  <c r="J200" i="34"/>
  <c r="K197" i="34"/>
  <c r="L197" i="34" s="1"/>
  <c r="J196" i="34"/>
  <c r="K193" i="34"/>
  <c r="L193" i="34" s="1"/>
  <c r="J192" i="34"/>
  <c r="K189" i="34"/>
  <c r="L189" i="34" s="1"/>
  <c r="J188" i="34"/>
  <c r="K185" i="34"/>
  <c r="L185" i="34" s="1"/>
  <c r="J184" i="34"/>
  <c r="K181" i="34"/>
  <c r="L181" i="34" s="1"/>
  <c r="J180" i="34"/>
  <c r="K177" i="34"/>
  <c r="L177" i="34" s="1"/>
  <c r="J176" i="34"/>
  <c r="K173" i="34"/>
  <c r="L173" i="34" s="1"/>
  <c r="J172" i="34"/>
  <c r="K169" i="34"/>
  <c r="L169" i="34" s="1"/>
  <c r="J168" i="34"/>
  <c r="K165" i="34"/>
  <c r="L165" i="34" s="1"/>
  <c r="J164" i="34"/>
  <c r="K161" i="34"/>
  <c r="L161" i="34" s="1"/>
  <c r="J160" i="34"/>
  <c r="K157" i="34"/>
  <c r="L157" i="34" s="1"/>
  <c r="J156" i="34"/>
  <c r="K153" i="34"/>
  <c r="L153" i="34" s="1"/>
  <c r="J152" i="34"/>
  <c r="K149" i="34"/>
  <c r="L149" i="34" s="1"/>
  <c r="J148" i="34"/>
  <c r="K145" i="34"/>
  <c r="L145" i="34" s="1"/>
  <c r="J144" i="34"/>
  <c r="K141" i="34"/>
  <c r="L141" i="34" s="1"/>
  <c r="J140" i="34"/>
  <c r="K137" i="34"/>
  <c r="L137" i="34" s="1"/>
  <c r="J136" i="34"/>
  <c r="K133" i="34"/>
  <c r="L133" i="34" s="1"/>
  <c r="J132" i="34"/>
  <c r="K129" i="34"/>
  <c r="L129" i="34" s="1"/>
  <c r="J128" i="34"/>
  <c r="L287" i="34"/>
  <c r="K282" i="34"/>
  <c r="L282" i="34" s="1"/>
  <c r="J277" i="34"/>
  <c r="L271" i="34"/>
  <c r="K266" i="34"/>
  <c r="L266" i="34" s="1"/>
  <c r="J261" i="34"/>
  <c r="L255" i="34"/>
  <c r="K250" i="34"/>
  <c r="L250" i="34" s="1"/>
  <c r="J245" i="34"/>
  <c r="L239" i="34"/>
  <c r="K234" i="34"/>
  <c r="L234" i="34" s="1"/>
  <c r="J229" i="34"/>
  <c r="L223" i="34"/>
  <c r="K218" i="34"/>
  <c r="L218" i="34" s="1"/>
  <c r="J213" i="34"/>
  <c r="L207" i="34"/>
  <c r="K202" i="34"/>
  <c r="L202" i="34" s="1"/>
  <c r="J197" i="34"/>
  <c r="L191" i="34"/>
  <c r="K186" i="34"/>
  <c r="L186" i="34" s="1"/>
  <c r="J181" i="34"/>
  <c r="L175" i="34"/>
  <c r="K170" i="34"/>
  <c r="L170" i="34" s="1"/>
  <c r="J165" i="34"/>
  <c r="L159" i="34"/>
  <c r="K154" i="34"/>
  <c r="L154" i="34" s="1"/>
  <c r="J149" i="34"/>
  <c r="L143" i="34"/>
  <c r="K139" i="34"/>
  <c r="L136" i="34"/>
  <c r="J134" i="34"/>
  <c r="K131" i="34"/>
  <c r="L128" i="34"/>
  <c r="J126" i="34"/>
  <c r="J124" i="34"/>
  <c r="K122" i="34"/>
  <c r="L120" i="34"/>
  <c r="J119" i="34"/>
  <c r="K116" i="34"/>
  <c r="J115" i="34"/>
  <c r="K112" i="34"/>
  <c r="J111" i="34"/>
  <c r="K108" i="34"/>
  <c r="J107" i="34"/>
  <c r="K104" i="34"/>
  <c r="J103" i="34"/>
  <c r="K100" i="34"/>
  <c r="J99" i="34"/>
  <c r="K96" i="34"/>
  <c r="J95" i="34"/>
  <c r="K92" i="34"/>
  <c r="J91" i="34"/>
  <c r="K88" i="34"/>
  <c r="J87" i="34"/>
  <c r="K84" i="34"/>
  <c r="J83" i="34"/>
  <c r="K80" i="34"/>
  <c r="J79" i="34"/>
  <c r="K76" i="34"/>
  <c r="J75" i="34"/>
  <c r="K72" i="34"/>
  <c r="J71" i="34"/>
  <c r="K68" i="34"/>
  <c r="J67" i="34"/>
  <c r="K64" i="34"/>
  <c r="J63" i="34"/>
  <c r="K60" i="34"/>
  <c r="J59" i="34"/>
  <c r="K56" i="34"/>
  <c r="J55" i="34"/>
  <c r="K52" i="34"/>
  <c r="J51" i="34"/>
  <c r="K48" i="34"/>
  <c r="J47" i="34"/>
  <c r="K44" i="34"/>
  <c r="J43" i="34"/>
  <c r="K40" i="34"/>
  <c r="J39" i="34"/>
  <c r="K36" i="34"/>
  <c r="J35" i="34"/>
  <c r="N31" i="34"/>
  <c r="L24" i="34"/>
  <c r="L22" i="34"/>
  <c r="X18" i="34"/>
  <c r="T18" i="34"/>
  <c r="P18" i="34"/>
  <c r="L18" i="34"/>
  <c r="O17" i="34"/>
  <c r="F17" i="34"/>
  <c r="K286" i="34"/>
  <c r="L286" i="34" s="1"/>
  <c r="J281" i="34"/>
  <c r="L275" i="34"/>
  <c r="K270" i="34"/>
  <c r="L270" i="34" s="1"/>
  <c r="J265" i="34"/>
  <c r="L259" i="34"/>
  <c r="K254" i="34"/>
  <c r="L254" i="34" s="1"/>
  <c r="J249" i="34"/>
  <c r="L243" i="34"/>
  <c r="K238" i="34"/>
  <c r="L238" i="34" s="1"/>
  <c r="J233" i="34"/>
  <c r="L227" i="34"/>
  <c r="K222" i="34"/>
  <c r="L222" i="34" s="1"/>
  <c r="J217" i="34"/>
  <c r="L211" i="34"/>
  <c r="K206" i="34"/>
  <c r="L206" i="34" s="1"/>
  <c r="J201" i="34"/>
  <c r="L195" i="34"/>
  <c r="K190" i="34"/>
  <c r="L190" i="34" s="1"/>
  <c r="J185" i="34"/>
  <c r="L179" i="34"/>
  <c r="K174" i="34"/>
  <c r="L174" i="34" s="1"/>
  <c r="J169" i="34"/>
  <c r="L163" i="34"/>
  <c r="K158" i="34"/>
  <c r="L158" i="34" s="1"/>
  <c r="J153" i="34"/>
  <c r="L147" i="34"/>
  <c r="K142" i="34"/>
  <c r="L142" i="34" s="1"/>
  <c r="K138" i="34"/>
  <c r="L138" i="34" s="1"/>
  <c r="J133" i="34"/>
  <c r="K130" i="34"/>
  <c r="L130" i="34" s="1"/>
  <c r="K125" i="34"/>
  <c r="L125" i="34" s="1"/>
  <c r="J122" i="34"/>
  <c r="J120" i="34"/>
  <c r="K117" i="34"/>
  <c r="L117" i="34" s="1"/>
  <c r="J116" i="34"/>
  <c r="K113" i="34"/>
  <c r="L113" i="34" s="1"/>
  <c r="J112" i="34"/>
  <c r="K109" i="34"/>
  <c r="L109" i="34" s="1"/>
  <c r="J108" i="34"/>
  <c r="K105" i="34"/>
  <c r="L105" i="34" s="1"/>
  <c r="J104" i="34"/>
  <c r="K101" i="34"/>
  <c r="L101" i="34" s="1"/>
  <c r="J100" i="34"/>
  <c r="K97" i="34"/>
  <c r="L97" i="34" s="1"/>
  <c r="J96" i="34"/>
  <c r="K93" i="34"/>
  <c r="L93" i="34" s="1"/>
  <c r="J92" i="34"/>
  <c r="K89" i="34"/>
  <c r="L89" i="34" s="1"/>
  <c r="J88" i="34"/>
  <c r="K85" i="34"/>
  <c r="L85" i="34" s="1"/>
  <c r="J84" i="34"/>
  <c r="K81" i="34"/>
  <c r="L81" i="34" s="1"/>
  <c r="J80" i="34"/>
  <c r="K77" i="34"/>
  <c r="L77" i="34" s="1"/>
  <c r="J76" i="34"/>
  <c r="K73" i="34"/>
  <c r="L73" i="34" s="1"/>
  <c r="J72" i="34"/>
  <c r="K69" i="34"/>
  <c r="L69" i="34" s="1"/>
  <c r="J68" i="34"/>
  <c r="K65" i="34"/>
  <c r="L65" i="34" s="1"/>
  <c r="J64" i="34"/>
  <c r="K61" i="34"/>
  <c r="L61" i="34" s="1"/>
  <c r="J60" i="34"/>
  <c r="K57" i="34"/>
  <c r="L57" i="34" s="1"/>
  <c r="J56" i="34"/>
  <c r="K53" i="34"/>
  <c r="L53" i="34" s="1"/>
  <c r="J52" i="34"/>
  <c r="K49" i="34"/>
  <c r="L49" i="34" s="1"/>
  <c r="J48" i="34"/>
  <c r="K45" i="34"/>
  <c r="L45" i="34" s="1"/>
  <c r="J44" i="34"/>
  <c r="K41" i="34"/>
  <c r="L41" i="34" s="1"/>
  <c r="J40" i="34"/>
  <c r="K37" i="34"/>
  <c r="L37" i="34" s="1"/>
  <c r="J36" i="34"/>
  <c r="F20" i="34"/>
  <c r="AA18" i="34"/>
  <c r="W18" i="34"/>
  <c r="S18" i="34"/>
  <c r="O18" i="34"/>
  <c r="F18" i="34"/>
  <c r="E17" i="34"/>
  <c r="F15" i="34"/>
  <c r="J285" i="34"/>
  <c r="L279" i="34"/>
  <c r="K274" i="34"/>
  <c r="L274" i="34" s="1"/>
  <c r="J269" i="34"/>
  <c r="L263" i="34"/>
  <c r="K258" i="34"/>
  <c r="L258" i="34" s="1"/>
  <c r="J253" i="34"/>
  <c r="L247" i="34"/>
  <c r="K242" i="34"/>
  <c r="L242" i="34" s="1"/>
  <c r="J237" i="34"/>
  <c r="L231" i="34"/>
  <c r="K226" i="34"/>
  <c r="L226" i="34" s="1"/>
  <c r="J221" i="34"/>
  <c r="L215" i="34"/>
  <c r="K210" i="34"/>
  <c r="L210" i="34" s="1"/>
  <c r="J205" i="34"/>
  <c r="L199" i="34"/>
  <c r="K194" i="34"/>
  <c r="L194" i="34" s="1"/>
  <c r="J189" i="34"/>
  <c r="L183" i="34"/>
  <c r="K178" i="34"/>
  <c r="L178" i="34" s="1"/>
  <c r="J173" i="34"/>
  <c r="L167" i="34"/>
  <c r="K162" i="34"/>
  <c r="L162" i="34" s="1"/>
  <c r="J157" i="34"/>
  <c r="L151" i="34"/>
  <c r="K146" i="34"/>
  <c r="L146" i="34" s="1"/>
  <c r="J141" i="34"/>
  <c r="J138" i="34"/>
  <c r="K135" i="34"/>
  <c r="L135" i="34" s="1"/>
  <c r="L132" i="34"/>
  <c r="J130" i="34"/>
  <c r="K127" i="34"/>
  <c r="L127" i="34" s="1"/>
  <c r="J125" i="34"/>
  <c r="K123" i="34"/>
  <c r="L123" i="34" s="1"/>
  <c r="K121" i="34"/>
  <c r="L121" i="34" s="1"/>
  <c r="K118" i="34"/>
  <c r="L118" i="34" s="1"/>
  <c r="J117" i="34"/>
  <c r="K114" i="34"/>
  <c r="L114" i="34" s="1"/>
  <c r="J113" i="34"/>
  <c r="K110" i="34"/>
  <c r="L110" i="34" s="1"/>
  <c r="J109" i="34"/>
  <c r="K106" i="34"/>
  <c r="L106" i="34" s="1"/>
  <c r="J105" i="34"/>
  <c r="K102" i="34"/>
  <c r="L102" i="34" s="1"/>
  <c r="J101" i="34"/>
  <c r="K98" i="34"/>
  <c r="L98" i="34" s="1"/>
  <c r="J97" i="34"/>
  <c r="K94" i="34"/>
  <c r="L94" i="34" s="1"/>
  <c r="J93" i="34"/>
  <c r="K90" i="34"/>
  <c r="L90" i="34" s="1"/>
  <c r="J89" i="34"/>
  <c r="K86" i="34"/>
  <c r="L86" i="34" s="1"/>
  <c r="J85" i="34"/>
  <c r="K82" i="34"/>
  <c r="L82" i="34" s="1"/>
  <c r="J81" i="34"/>
  <c r="K78" i="34"/>
  <c r="L78" i="34" s="1"/>
  <c r="J77" i="34"/>
  <c r="K74" i="34"/>
  <c r="L74" i="34" s="1"/>
  <c r="J73" i="34"/>
  <c r="K70" i="34"/>
  <c r="L70" i="34" s="1"/>
  <c r="J69" i="34"/>
  <c r="K66" i="34"/>
  <c r="L66" i="34" s="1"/>
  <c r="J65" i="34"/>
  <c r="K62" i="34"/>
  <c r="L62" i="34" s="1"/>
  <c r="J61" i="34"/>
  <c r="K58" i="34"/>
  <c r="L58" i="34" s="1"/>
  <c r="J57" i="34"/>
  <c r="K54" i="34"/>
  <c r="L54" i="34" s="1"/>
  <c r="J53" i="34"/>
  <c r="K50" i="34"/>
  <c r="L50" i="34" s="1"/>
  <c r="J49" i="34"/>
  <c r="K46" i="34"/>
  <c r="L46" i="34" s="1"/>
  <c r="J45" i="34"/>
  <c r="K42" i="34"/>
  <c r="L42" i="34" s="1"/>
  <c r="J41" i="34"/>
  <c r="K38" i="34"/>
  <c r="L38" i="34" s="1"/>
  <c r="J37" i="34"/>
  <c r="K34" i="34"/>
  <c r="L34" i="34" s="1"/>
  <c r="L23" i="34"/>
  <c r="E20" i="34"/>
  <c r="Z18" i="34"/>
  <c r="V18" i="34"/>
  <c r="R18" i="34"/>
  <c r="N18" i="34"/>
  <c r="E18" i="34"/>
  <c r="L283" i="34"/>
  <c r="K262" i="34"/>
  <c r="L262" i="34" s="1"/>
  <c r="J241" i="34"/>
  <c r="L219" i="34"/>
  <c r="K198" i="34"/>
  <c r="L198" i="34" s="1"/>
  <c r="J177" i="34"/>
  <c r="L155" i="34"/>
  <c r="J137" i="34"/>
  <c r="K126" i="34"/>
  <c r="L126" i="34" s="1"/>
  <c r="K119" i="34"/>
  <c r="L119" i="34" s="1"/>
  <c r="J114" i="34"/>
  <c r="L108" i="34"/>
  <c r="K103" i="34"/>
  <c r="L103" i="34" s="1"/>
  <c r="J98" i="34"/>
  <c r="L92" i="34"/>
  <c r="K87" i="34"/>
  <c r="L87" i="34" s="1"/>
  <c r="J82" i="34"/>
  <c r="L76" i="34"/>
  <c r="K71" i="34"/>
  <c r="L71" i="34" s="1"/>
  <c r="J66" i="34"/>
  <c r="L60" i="34"/>
  <c r="K55" i="34"/>
  <c r="L55" i="34" s="1"/>
  <c r="J50" i="34"/>
  <c r="L44" i="34"/>
  <c r="K39" i="34"/>
  <c r="L39" i="34" s="1"/>
  <c r="J34" i="34"/>
  <c r="O24" i="34"/>
  <c r="U18" i="34"/>
  <c r="F16" i="34"/>
  <c r="E16" i="34" s="1"/>
  <c r="E15" i="34"/>
  <c r="B11" i="34"/>
  <c r="F9" i="34"/>
  <c r="F6" i="34"/>
  <c r="L4" i="34"/>
  <c r="E6" i="34"/>
  <c r="B1" i="34"/>
  <c r="K246" i="34"/>
  <c r="L246" i="34" s="1"/>
  <c r="L139" i="34"/>
  <c r="K115" i="34"/>
  <c r="L115" i="34" s="1"/>
  <c r="J94" i="34"/>
  <c r="L72" i="34"/>
  <c r="L56" i="34"/>
  <c r="L40" i="34"/>
  <c r="O31" i="34"/>
  <c r="L17" i="34"/>
  <c r="L16" i="34"/>
  <c r="H3" i="34"/>
  <c r="K278" i="34"/>
  <c r="L278" i="34" s="1"/>
  <c r="J257" i="34"/>
  <c r="L235" i="34"/>
  <c r="K214" i="34"/>
  <c r="L214" i="34" s="1"/>
  <c r="J193" i="34"/>
  <c r="L171" i="34"/>
  <c r="K150" i="34"/>
  <c r="L150" i="34" s="1"/>
  <c r="K134" i="34"/>
  <c r="L134" i="34" s="1"/>
  <c r="L124" i="34"/>
  <c r="J118" i="34"/>
  <c r="L112" i="34"/>
  <c r="K107" i="34"/>
  <c r="L107" i="34" s="1"/>
  <c r="J102" i="34"/>
  <c r="L96" i="34"/>
  <c r="K91" i="34"/>
  <c r="L91" i="34" s="1"/>
  <c r="J86" i="34"/>
  <c r="L80" i="34"/>
  <c r="K75" i="34"/>
  <c r="L75" i="34" s="1"/>
  <c r="J70" i="34"/>
  <c r="L64" i="34"/>
  <c r="K59" i="34"/>
  <c r="L59" i="34" s="1"/>
  <c r="J54" i="34"/>
  <c r="L48" i="34"/>
  <c r="K43" i="34"/>
  <c r="L43" i="34" s="1"/>
  <c r="J38" i="34"/>
  <c r="O22" i="34"/>
  <c r="Q18" i="34"/>
  <c r="B14" i="34"/>
  <c r="F13" i="34"/>
  <c r="B12" i="34"/>
  <c r="F10" i="34"/>
  <c r="E9" i="34"/>
  <c r="F7" i="34"/>
  <c r="K182" i="34"/>
  <c r="L182" i="34" s="1"/>
  <c r="J121" i="34"/>
  <c r="L104" i="34"/>
  <c r="K99" i="34"/>
  <c r="L99" i="34" s="1"/>
  <c r="K83" i="34"/>
  <c r="L83" i="34" s="1"/>
  <c r="K67" i="34"/>
  <c r="L67" i="34" s="1"/>
  <c r="J46" i="34"/>
  <c r="Y18" i="34"/>
  <c r="B10" i="34"/>
  <c r="M4" i="34"/>
  <c r="J273" i="34"/>
  <c r="L251" i="34"/>
  <c r="K230" i="34"/>
  <c r="L230" i="34" s="1"/>
  <c r="J209" i="34"/>
  <c r="L187" i="34"/>
  <c r="K166" i="34"/>
  <c r="L166" i="34" s="1"/>
  <c r="J145" i="34"/>
  <c r="L131" i="34"/>
  <c r="L122" i="34"/>
  <c r="L116" i="34"/>
  <c r="K111" i="34"/>
  <c r="L111" i="34" s="1"/>
  <c r="J106" i="34"/>
  <c r="L100" i="34"/>
  <c r="K95" i="34"/>
  <c r="L95" i="34" s="1"/>
  <c r="J90" i="34"/>
  <c r="L84" i="34"/>
  <c r="K79" i="34"/>
  <c r="L79" i="34" s="1"/>
  <c r="J74" i="34"/>
  <c r="L68" i="34"/>
  <c r="K63" i="34"/>
  <c r="L63" i="34" s="1"/>
  <c r="J58" i="34"/>
  <c r="L52" i="34"/>
  <c r="K47" i="34"/>
  <c r="L47" i="34" s="1"/>
  <c r="J42" i="34"/>
  <c r="L36" i="34"/>
  <c r="F19" i="34"/>
  <c r="E19" i="34" s="1"/>
  <c r="M18" i="34"/>
  <c r="E13" i="34"/>
  <c r="F11" i="34"/>
  <c r="E10" i="34"/>
  <c r="E7" i="34"/>
  <c r="H2" i="34"/>
  <c r="L267" i="34"/>
  <c r="J225" i="34"/>
  <c r="L203" i="34"/>
  <c r="J161" i="34"/>
  <c r="J129" i="34"/>
  <c r="J110" i="34"/>
  <c r="L88" i="34"/>
  <c r="J78" i="34"/>
  <c r="J62" i="34"/>
  <c r="K51" i="34"/>
  <c r="L51" i="34" s="1"/>
  <c r="K35" i="34"/>
  <c r="L35" i="34" s="1"/>
  <c r="F14" i="34"/>
  <c r="E14" i="34" s="1"/>
  <c r="F12" i="34"/>
  <c r="E12" i="34" s="1"/>
  <c r="E11" i="34"/>
  <c r="L26" i="34"/>
  <c r="O23" i="34"/>
  <c r="E8" i="34" l="1"/>
  <c r="F8" i="34"/>
  <c r="B16" i="34"/>
  <c r="D7" i="34"/>
  <c r="Z14" i="34"/>
  <c r="X14" i="34"/>
  <c r="T14" i="34"/>
  <c r="P14" i="34"/>
  <c r="W14" i="34"/>
  <c r="S14" i="34"/>
  <c r="AA14" i="34"/>
  <c r="V14" i="34"/>
  <c r="R14" i="34"/>
  <c r="Y14" i="34"/>
  <c r="U14" i="34"/>
  <c r="Q14" i="34"/>
  <c r="Y13" i="34"/>
  <c r="U13" i="34"/>
  <c r="Q13" i="34"/>
  <c r="X13" i="34"/>
  <c r="T13" i="34"/>
  <c r="P13" i="34"/>
  <c r="Z13" i="34"/>
  <c r="V13" i="34"/>
  <c r="R13" i="34"/>
  <c r="AA13" i="34"/>
  <c r="W13" i="34"/>
  <c r="S13" i="34"/>
  <c r="O13" i="34"/>
  <c r="D6" i="34"/>
  <c r="N14" i="34"/>
  <c r="J3" i="34"/>
  <c r="J2" i="34"/>
  <c r="I32" i="28"/>
  <c r="B26" i="32"/>
  <c r="I31" i="28"/>
  <c r="B25" i="31"/>
  <c r="I36" i="33"/>
  <c r="I36" i="28"/>
  <c r="I43" i="33"/>
  <c r="I48" i="33"/>
  <c r="H17" i="33"/>
  <c r="H16" i="28"/>
  <c r="O15" i="29"/>
  <c r="O17" i="29"/>
  <c r="O18" i="29"/>
  <c r="C19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F36" i="28"/>
  <c r="S3" i="28"/>
  <c r="Z31" i="34"/>
  <c r="U31" i="34"/>
  <c r="T31" i="34"/>
  <c r="T17" i="34"/>
  <c r="S17" i="34"/>
  <c r="R17" i="34"/>
  <c r="N32" i="34"/>
  <c r="Q11" i="34"/>
  <c r="Q32" i="34"/>
  <c r="Q16" i="34"/>
  <c r="Z11" i="34"/>
  <c r="Z32" i="34"/>
  <c r="Z16" i="34"/>
  <c r="W11" i="34"/>
  <c r="W16" i="34"/>
  <c r="W32" i="34"/>
  <c r="N17" i="34"/>
  <c r="M31" i="34"/>
  <c r="V31" i="34"/>
  <c r="Q31" i="34"/>
  <c r="P31" i="34"/>
  <c r="P17" i="34"/>
  <c r="S31" i="34"/>
  <c r="Y17" i="34"/>
  <c r="M32" i="34"/>
  <c r="X11" i="34"/>
  <c r="X16" i="34"/>
  <c r="X32" i="34"/>
  <c r="V11" i="34"/>
  <c r="V32" i="34"/>
  <c r="V16" i="34"/>
  <c r="S11" i="34"/>
  <c r="S16" i="34"/>
  <c r="S32" i="34"/>
  <c r="B9" i="34"/>
  <c r="R31" i="34"/>
  <c r="Z17" i="34"/>
  <c r="AA31" i="34"/>
  <c r="W31" i="34"/>
  <c r="AA17" i="34"/>
  <c r="U17" i="34"/>
  <c r="Y11" i="34"/>
  <c r="Y32" i="34"/>
  <c r="Y16" i="34"/>
  <c r="T32" i="34"/>
  <c r="T16" i="34"/>
  <c r="T11" i="34"/>
  <c r="R11" i="34"/>
  <c r="R32" i="34"/>
  <c r="R16" i="34"/>
  <c r="O16" i="34"/>
  <c r="O32" i="34"/>
  <c r="Y31" i="34"/>
  <c r="X31" i="34"/>
  <c r="X17" i="34"/>
  <c r="W17" i="34"/>
  <c r="V17" i="34"/>
  <c r="Q17" i="34"/>
  <c r="U11" i="34"/>
  <c r="U32" i="34"/>
  <c r="U16" i="34"/>
  <c r="P32" i="34"/>
  <c r="P11" i="34"/>
  <c r="P16" i="34"/>
  <c r="AA11" i="34"/>
  <c r="AA16" i="34"/>
  <c r="AA32" i="34"/>
  <c r="I43" i="28" l="1"/>
  <c r="H17" i="28"/>
  <c r="I48" i="28"/>
  <c r="M13" i="34"/>
  <c r="M14" i="34"/>
  <c r="N13" i="34"/>
  <c r="M16" i="34"/>
  <c r="M17" i="34"/>
  <c r="N16" i="34"/>
  <c r="H19" i="33" l="1"/>
  <c r="H19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Djak, Sarah L.</author>
    <author>PARKS, LYNN</author>
  </authors>
  <commentList>
    <comment ref="F22" authorId="0" shapeId="0" xr:uid="{7B5C4611-A743-44D1-8CD2-E93FE35941FE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1011200</t>
        </r>
      </text>
    </comment>
    <comment ref="F24" authorId="0" shapeId="0" xr:uid="{81EA540C-F8E0-4C1A-8284-BEC2A66D0083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2430100
</t>
        </r>
      </text>
    </comment>
    <comment ref="F25" authorId="0" shapeId="0" xr:uid="{29BBDEC0-145A-413A-B652-107CE5AF7952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2270200</t>
        </r>
      </text>
    </comment>
    <comment ref="B43" authorId="1" shapeId="0" xr:uid="{550EF30E-0A50-49CE-B887-7FA805C83ECA}">
      <text>
        <r>
          <rPr>
            <b/>
            <sz val="9"/>
            <color indexed="81"/>
            <rFont val="Tahoma"/>
            <family val="2"/>
          </rPr>
          <t>PARKS, LYNN:</t>
        </r>
        <r>
          <rPr>
            <sz val="9"/>
            <color indexed="81"/>
            <rFont val="Tahoma"/>
            <family val="2"/>
          </rPr>
          <t xml:space="preserve">
confirm wording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Djak, Sarah L.</author>
    <author>PARKS, LYNN</author>
  </authors>
  <commentList>
    <comment ref="F22" authorId="0" shapeId="0" xr:uid="{3827EC4E-CEFD-4542-8E8F-03506E3C5F89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1011200</t>
        </r>
      </text>
    </comment>
    <comment ref="F24" authorId="0" shapeId="0" xr:uid="{F1C2AB70-C4AE-43A8-A250-6FEE7BD3C71F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2430100
</t>
        </r>
      </text>
    </comment>
    <comment ref="F25" authorId="0" shapeId="0" xr:uid="{0698E3FC-E4AF-4C40-B482-136A7DFA0CAB}">
      <text>
        <r>
          <rPr>
            <b/>
            <sz val="9"/>
            <color indexed="81"/>
            <rFont val="Tahoma"/>
            <family val="2"/>
          </rPr>
          <t>Djak, Sarah L.:</t>
        </r>
        <r>
          <rPr>
            <sz val="9"/>
            <color indexed="81"/>
            <rFont val="Tahoma"/>
            <family val="2"/>
          </rPr>
          <t xml:space="preserve">
input balance in account 2270200</t>
        </r>
      </text>
    </comment>
    <comment ref="B43" authorId="1" shapeId="0" xr:uid="{536AC569-E67C-40FB-A9D0-D07BF763EF53}">
      <text>
        <r>
          <rPr>
            <b/>
            <sz val="9"/>
            <color indexed="81"/>
            <rFont val="Tahoma"/>
            <family val="2"/>
          </rPr>
          <t>PARKS, LYNN:</t>
        </r>
        <r>
          <rPr>
            <sz val="9"/>
            <color indexed="81"/>
            <rFont val="Tahoma"/>
            <family val="2"/>
          </rPr>
          <t xml:space="preserve">
confirm wording
</t>
        </r>
      </text>
    </comment>
  </commentList>
</comments>
</file>

<file path=xl/sharedStrings.xml><?xml version="1.0" encoding="utf-8"?>
<sst xmlns="http://schemas.openxmlformats.org/spreadsheetml/2006/main" count="9198" uniqueCount="4672">
  <si>
    <t>SCHEDULE B-24</t>
  </si>
  <si>
    <t>LEASING ARRANGEMENTS</t>
  </si>
  <si>
    <t>Page 1 of 1</t>
  </si>
  <si>
    <t>FLORIDA PUBLIC SERVICE COMMISSION</t>
  </si>
  <si>
    <t xml:space="preserve">                  EXPLANATION:</t>
  </si>
  <si>
    <t>Provide the data specified for leasing arrangements in effect during the test year and prior year.</t>
  </si>
  <si>
    <t xml:space="preserve">       Type of data shown: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</si>
  <si>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</si>
  <si>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</si>
  <si>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</si>
  <si>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</si>
  <si>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</si>
  <si>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(Dollars in 000's)</t>
  </si>
  <si>
    <t>Line</t>
  </si>
  <si>
    <t>No.</t>
  </si>
  <si>
    <t>Total</t>
  </si>
  <si>
    <t>Leasing Payments for 2024:</t>
  </si>
  <si>
    <t>Leasing Payments for 2025:</t>
  </si>
  <si>
    <t>Leasing Payments, Remaining Life Contracts</t>
  </si>
  <si>
    <t>from January 1, 2026 and forward</t>
  </si>
  <si>
    <t>Describe Leasing Agreements Whose Lifetime Costs Exceed $10 Million</t>
  </si>
  <si>
    <t>Original</t>
  </si>
  <si>
    <t>Annual</t>
  </si>
  <si>
    <t>Life of</t>
  </si>
  <si>
    <t>Disposition of Asset,</t>
  </si>
  <si>
    <t>Asset</t>
  </si>
  <si>
    <t>Cost</t>
  </si>
  <si>
    <t>Payment</t>
  </si>
  <si>
    <t>Contract</t>
  </si>
  <si>
    <t>Provision for Purchase</t>
  </si>
  <si>
    <t>POLE RENT</t>
  </si>
  <si>
    <t>Pole Rental for 2024:</t>
  </si>
  <si>
    <t>NA</t>
  </si>
  <si>
    <t>Indefinite</t>
  </si>
  <si>
    <t>Agreement continues for the life of installed pole</t>
  </si>
  <si>
    <t xml:space="preserve"> Pole Rental for 2025:</t>
  </si>
  <si>
    <t xml:space="preserve"> NA</t>
  </si>
  <si>
    <t xml:space="preserve"> Indefinite</t>
  </si>
  <si>
    <t>Office Building</t>
  </si>
  <si>
    <t>**</t>
  </si>
  <si>
    <t>20 years</t>
  </si>
  <si>
    <t>The contract has a primary term as well as renewal options</t>
  </si>
  <si>
    <t>(known as TECO Plaza)</t>
  </si>
  <si>
    <t xml:space="preserve">There is no transfer of ownership at the end of the lease </t>
  </si>
  <si>
    <t>** Represents payments in 2024    Actual payments vary over the term of the lease.</t>
  </si>
  <si>
    <t xml:space="preserve"> and no bargain purchase option. </t>
  </si>
  <si>
    <t xml:space="preserve">     Lease was effective October 1, 2005</t>
  </si>
  <si>
    <t xml:space="preserve">  </t>
  </si>
  <si>
    <t>Land</t>
  </si>
  <si>
    <t>99 years</t>
  </si>
  <si>
    <t xml:space="preserve">The contract has a primary term as well as renewal options </t>
  </si>
  <si>
    <t>(known as Ybor City Data Center Land)</t>
  </si>
  <si>
    <t>at stated rates for an additional 65 years.</t>
  </si>
  <si>
    <t xml:space="preserve">     Lease was effective April 1996</t>
  </si>
  <si>
    <t>30 years</t>
  </si>
  <si>
    <t>(known as Little Manatee River Land)</t>
  </si>
  <si>
    <t>at stated rates for an additional 28.75 years.</t>
  </si>
  <si>
    <t xml:space="preserve">     Lease was effective July 2019</t>
  </si>
  <si>
    <t>35 years</t>
  </si>
  <si>
    <t>(known as Bullfrog Land)</t>
  </si>
  <si>
    <t>at stated rates for an additional 5 years.</t>
  </si>
  <si>
    <t xml:space="preserve">     Lease was effective January 2024</t>
  </si>
  <si>
    <t>Supporting Schedules:</t>
  </si>
  <si>
    <t>Recap Schedules:</t>
  </si>
  <si>
    <t>TEC 10Q 2020</t>
  </si>
  <si>
    <t>Subject:</t>
  </si>
  <si>
    <t>Leases-Lessee</t>
  </si>
  <si>
    <t xml:space="preserve">Company:  </t>
  </si>
  <si>
    <t>TEC Consolidated (TE, PGS, TPI)</t>
  </si>
  <si>
    <t xml:space="preserve">Date Due: </t>
  </si>
  <si>
    <t>Prepared by:</t>
  </si>
  <si>
    <t>Kim Cockfield</t>
  </si>
  <si>
    <t>Date Prepared:</t>
  </si>
  <si>
    <t>Approved by:</t>
  </si>
  <si>
    <t>Sarah Djak</t>
  </si>
  <si>
    <t>Date Approved:</t>
  </si>
  <si>
    <t>LEASES - Lessee</t>
  </si>
  <si>
    <t>Include all options reasonably certain to be exercised</t>
  </si>
  <si>
    <t>Lease details - Include all Leases scoped in to the Leasing project for ASC 842 and any new leases that have been entered into during the period that are material for the affiliate</t>
  </si>
  <si>
    <t>Remaining lease payments</t>
  </si>
  <si>
    <t>Renewal Options (yrs)</t>
  </si>
  <si>
    <t>Termination options (yrs)</t>
  </si>
  <si>
    <t>% of total leases</t>
  </si>
  <si>
    <t>Weighted average remaining lease term</t>
  </si>
  <si>
    <t>Weighted average discount rate operating leases</t>
  </si>
  <si>
    <t>Affiliate</t>
  </si>
  <si>
    <t>Category</t>
  </si>
  <si>
    <t>Description</t>
  </si>
  <si>
    <t>Remaining term (yrs)</t>
  </si>
  <si>
    <t>Discount rate</t>
  </si>
  <si>
    <t>Thereafter</t>
  </si>
  <si>
    <t>Tampa Electric</t>
  </si>
  <si>
    <t>Building</t>
  </si>
  <si>
    <t>TECO Plaza</t>
  </si>
  <si>
    <t>Communication Tower</t>
  </si>
  <si>
    <t>Citrus Park Cell Tower</t>
  </si>
  <si>
    <t>Ybor City Data Center Land</t>
  </si>
  <si>
    <t>Little Manatee River Land</t>
  </si>
  <si>
    <t>Solar Warehouse</t>
  </si>
  <si>
    <t>TOTAL</t>
  </si>
  <si>
    <t>As at</t>
  </si>
  <si>
    <t>Millions of $US</t>
  </si>
  <si>
    <t>Classification</t>
  </si>
  <si>
    <t xml:space="preserve">Right-of-use asset </t>
  </si>
  <si>
    <t>Other non-current assets</t>
  </si>
  <si>
    <t>$</t>
  </si>
  <si>
    <t>Input required</t>
  </si>
  <si>
    <t xml:space="preserve">Lease liabilities </t>
  </si>
  <si>
    <t xml:space="preserve">  Current </t>
  </si>
  <si>
    <t>Other current liabilities</t>
  </si>
  <si>
    <t xml:space="preserve">  Long-term</t>
  </si>
  <si>
    <t>Other long term liabilities</t>
  </si>
  <si>
    <t>Total lease liabilities</t>
  </si>
  <si>
    <t xml:space="preserve">The Company has recorded lease expense for the three months ended December 31, 2020, as follows: </t>
  </si>
  <si>
    <t>For the</t>
  </si>
  <si>
    <t>Three months ended</t>
  </si>
  <si>
    <t>YTD 2020</t>
  </si>
  <si>
    <t>Q4 2020</t>
  </si>
  <si>
    <t>Operating lease cost (1)</t>
  </si>
  <si>
    <t>Finance lease costs - variable (2)</t>
  </si>
  <si>
    <t>Total lease expense</t>
  </si>
  <si>
    <r>
      <t>(1) Includes</t>
    </r>
    <r>
      <rPr>
        <b/>
        <sz val="10"/>
        <color rgb="FFFF0000"/>
        <rFont val="Calibri"/>
        <family val="2"/>
        <scheme val="minor"/>
      </rPr>
      <t xml:space="preserve"> $0.3 million</t>
    </r>
    <r>
      <rPr>
        <sz val="10"/>
        <color rgb="FF000000"/>
        <rFont val="Calibri"/>
        <family val="2"/>
        <scheme val="minor"/>
      </rPr>
      <t xml:space="preserve"> related to operating leases of less than 12 months in duration. Operating lease costs are recorded as ‘Operating, maintenance and general expenses’ on the Consolidated Statements of Income.</t>
    </r>
  </si>
  <si>
    <t xml:space="preserve">(2) Relates to variable costs for power generation facility finance leases. These costs are recorded as ‘Regulated fuel for generation and purchased power’ on the Consolidated Statements of Income. </t>
  </si>
  <si>
    <t>Future minimum lease payments under non-cancellable operating leases for each of the next five years and in aggregate thereafter consisted of the following:</t>
  </si>
  <si>
    <t>Year ended December 31</t>
  </si>
  <si>
    <t>Minimum lease payments</t>
  </si>
  <si>
    <t>Less: imputed interest</t>
  </si>
  <si>
    <t>Confirmation required</t>
  </si>
  <si>
    <t>This amount should equal the difference between cash payments to be made and Lease Liabilities on Balance Sheet</t>
  </si>
  <si>
    <t>Additional information related to Emera’s leases is as follows:</t>
  </si>
  <si>
    <t>Cash paid for amounts included in the measurement of lease liabilities:</t>
  </si>
  <si>
    <t xml:space="preserve">  Operating cash flows for operating leases</t>
  </si>
  <si>
    <t>Right-of-use assets obtained in exchange for lease obligations:</t>
  </si>
  <si>
    <t>Right-of-use assets obtained in exchange for lease obligations represents new leases that were entered into during the reporting period</t>
  </si>
  <si>
    <t xml:space="preserve">  Operating leases</t>
  </si>
  <si>
    <t>Weighted average discount rate - operating leases</t>
  </si>
  <si>
    <t>Disclose any material new Lessee arrangements entered into during the current reporting period that have not yet commenced (needed for the narrative below in green).</t>
  </si>
  <si>
    <t>Total Amount of Payments over the life of the lease</t>
  </si>
  <si>
    <t>Commencement date</t>
  </si>
  <si>
    <t>Lease term</t>
  </si>
  <si>
    <t>Purpose of the lease</t>
  </si>
  <si>
    <r>
      <t xml:space="preserve">As of December 31, 2020, the Company has additional operating leases, primarily for </t>
    </r>
    <r>
      <rPr>
        <sz val="11"/>
        <color rgb="FFFF0000"/>
        <rFont val="Calibri"/>
        <family val="2"/>
        <scheme val="minor"/>
      </rPr>
      <t>______</t>
    </r>
    <r>
      <rPr>
        <sz val="10"/>
        <rFont val="Arial"/>
        <family val="2"/>
      </rPr>
      <t xml:space="preserve">, that have not yet commenced, totaling </t>
    </r>
    <r>
      <rPr>
        <b/>
        <sz val="11"/>
        <color rgb="FFFF0000"/>
        <rFont val="Calibri"/>
        <family val="2"/>
        <scheme val="minor"/>
      </rPr>
      <t>$xx million</t>
    </r>
    <r>
      <rPr>
        <sz val="10"/>
        <rFont val="Arial"/>
        <family val="2"/>
      </rPr>
      <t xml:space="preserve">. These operating leases will commence between fiscal year </t>
    </r>
    <r>
      <rPr>
        <b/>
        <sz val="11"/>
        <color rgb="FFFF0000"/>
        <rFont val="Calibri"/>
        <family val="2"/>
        <scheme val="minor"/>
      </rPr>
      <t>2020</t>
    </r>
    <r>
      <rPr>
        <sz val="10"/>
        <rFont val="Arial"/>
        <family val="2"/>
      </rPr>
      <t xml:space="preserve"> and fiscal year </t>
    </r>
    <r>
      <rPr>
        <b/>
        <sz val="11"/>
        <color rgb="FFFF0000"/>
        <rFont val="Calibri"/>
        <family val="2"/>
        <scheme val="minor"/>
      </rPr>
      <t>20xx</t>
    </r>
    <r>
      <rPr>
        <sz val="10"/>
        <rFont val="Arial"/>
        <family val="2"/>
      </rPr>
      <t xml:space="preserve"> with lease terms of x year to </t>
    </r>
    <r>
      <rPr>
        <b/>
        <sz val="11"/>
        <color rgb="FFFF0000"/>
        <rFont val="Calibri"/>
        <family val="2"/>
        <scheme val="minor"/>
      </rPr>
      <t xml:space="preserve">x </t>
    </r>
    <r>
      <rPr>
        <sz val="10"/>
        <rFont val="Arial"/>
        <family val="2"/>
      </rPr>
      <t>years.</t>
    </r>
  </si>
  <si>
    <t>Projected Test Year Ended 12/31/2021</t>
  </si>
  <si>
    <t>Projected Prior Year Ended 12/31/2020</t>
  </si>
  <si>
    <t>Historical Prior Year Ended 12/31/2019</t>
  </si>
  <si>
    <t>"DOCKET No. " &amp; DocketNum</t>
  </si>
  <si>
    <t>Witness:   J.  S. Chronister</t>
  </si>
  <si>
    <t>Leasing Payments for 2019:</t>
  </si>
  <si>
    <t>Leasing Payments for 2020:</t>
  </si>
  <si>
    <t>from January 1, 2021 and forward</t>
  </si>
  <si>
    <t>Pole Rental for 2019:</t>
  </si>
  <si>
    <t>Pole Rental for 2020:</t>
  </si>
  <si>
    <t>Pole Rental for 2021</t>
  </si>
  <si>
    <t>at stated rates for an additional 4 years and 6 months.</t>
  </si>
  <si>
    <t>** Represents payments in 2021    Actual payments vary over the term of the lease.</t>
  </si>
  <si>
    <t>The contract has 65 years remaining.</t>
  </si>
  <si>
    <t xml:space="preserve">     Lease was effective XX</t>
  </si>
  <si>
    <t>The contract has 28.75 years remaining.</t>
  </si>
  <si>
    <t>REPORT_ID</t>
  </si>
  <si>
    <t>REPORT CELLS</t>
  </si>
  <si>
    <t xml:space="preserve">EPMOLAP </t>
  </si>
  <si>
    <t>TRIAL_BALANCE</t>
  </si>
  <si>
    <t>NO</t>
  </si>
  <si>
    <t>SUPRESS ZERO</t>
  </si>
  <si>
    <t>REPORT_NAME</t>
  </si>
  <si>
    <t>INPUT CELLS</t>
  </si>
  <si>
    <t>EMERA</t>
  </si>
  <si>
    <t>SOME</t>
  </si>
  <si>
    <t>NO SUPRESS ZERO</t>
  </si>
  <si>
    <t>REPORT_MODEL</t>
  </si>
  <si>
    <t>TECO_PLANNING</t>
  </si>
  <si>
    <t>LOCAL MEMBER</t>
  </si>
  <si>
    <t>EMERA ADJUSTMENTS</t>
  </si>
  <si>
    <t>FULL</t>
  </si>
  <si>
    <t>EPMCOPYRANGE</t>
  </si>
  <si>
    <t>EPMCopyRange(B1,TRUE,L4:AE4,TRUE)</t>
  </si>
  <si>
    <t>INTAN_IMPAIR</t>
  </si>
  <si>
    <t>C_ACCOUNT</t>
  </si>
  <si>
    <t>ROW AXIS</t>
  </si>
  <si>
    <t>&lt;&lt; ROW AXIS</t>
  </si>
  <si>
    <t>,EBITDA,EFFTAXRATE</t>
  </si>
  <si>
    <t>Report Type&gt;&gt;&gt;</t>
  </si>
  <si>
    <t>BALANCE_SHEET</t>
  </si>
  <si>
    <t>CATEGORY</t>
  </si>
  <si>
    <t>COL AXIS</t>
  </si>
  <si>
    <t>&lt;&lt; COL AXIS</t>
  </si>
  <si>
    <t>COSTCENTER</t>
  </si>
  <si>
    <t>&lt;&lt; FIXED</t>
  </si>
  <si>
    <t>DATASOURCE</t>
  </si>
  <si>
    <t>EPMOLAP</t>
  </si>
  <si>
    <t>ENTITY</t>
  </si>
  <si>
    <r>
      <t xml:space="preserve">&lt;&lt; </t>
    </r>
    <r>
      <rPr>
        <b/>
        <sz val="9"/>
        <color rgb="FF0000FF"/>
        <rFont val="Arial"/>
        <family val="2"/>
      </rPr>
      <t>PICK</t>
    </r>
  </si>
  <si>
    <t>TIME</t>
  </si>
  <si>
    <t>FLOW</t>
  </si>
  <si>
    <t>I_ENTITY</t>
  </si>
  <si>
    <t>RPTCURRENCY</t>
  </si>
  <si>
    <t>E_BalSheet_USGAAP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</si>
  <si>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</si>
  <si>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</si>
  <si>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</si>
  <si>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</si>
  <si>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</si>
  <si>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</si>
  <si>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</si>
  <si>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</si>
  <si>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</si>
  <si>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</si>
  <si>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</si>
  <si>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</si>
  <si>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MEASURES</t>
  </si>
  <si>
    <t>ACTUAL</t>
  </si>
  <si>
    <t>GLOBAL VARIABLES</t>
  </si>
  <si>
    <t>&lt;&lt; PICK</t>
  </si>
  <si>
    <t>EPMDIMOVERRIDE</t>
  </si>
  <si>
    <t>FREEZE REPORT</t>
  </si>
  <si>
    <t>UNFREEZE REPORT</t>
  </si>
  <si>
    <r>
      <t xml:space="preserve">Select </t>
    </r>
    <r>
      <rPr>
        <b/>
        <sz val="9"/>
        <color theme="1"/>
        <rFont val="Arial"/>
        <family val="2"/>
      </rPr>
      <t>Category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</si>
  <si>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Entity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</si>
  <si>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Time</t>
    </r>
    <r>
      <rPr>
        <sz val="9"/>
        <color theme="1"/>
        <rFont val="Arial"/>
        <family val="2"/>
      </rPr>
      <t>&gt;&gt;&gt;</t>
    </r>
  </si>
  <si>
    <t>ADDITIONAL DETAIL Y/N&gt;&gt;&gt;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</si>
  <si>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PLEASE RUN A REFRESH IF YOU CHANGE THIS SETTING.</t>
    </r>
  </si>
  <si>
    <t>TRIAL BALANCE REPORT</t>
  </si>
  <si>
    <t/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</si>
  <si>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BEFORE STARTING ANY WORK ON THIS TAB, PLEASE RUN A REFRESH</t>
    </r>
  </si>
  <si>
    <t>COST/PROFIT</t>
  </si>
  <si>
    <t>CENTER</t>
  </si>
  <si>
    <t>ACCOUNT ID</t>
  </si>
  <si>
    <t>ACCOUNT DESCRIPTION</t>
  </si>
  <si>
    <t>BALANCE SHEET REPORT</t>
  </si>
  <si>
    <t>TEC 10-K 2018 (Q4-2018)</t>
  </si>
  <si>
    <t>INFORMATION REQUEST - CONTRACTUAL OBLIGATIONS</t>
  </si>
  <si>
    <t>Quarter ended:</t>
  </si>
  <si>
    <t>Entity:</t>
  </si>
  <si>
    <t>TEC</t>
  </si>
  <si>
    <t>Currency:</t>
  </si>
  <si>
    <t>USD$ Millions</t>
  </si>
  <si>
    <t>Contractual Obligations</t>
  </si>
  <si>
    <t>As at December 31, 2018, contractual commitments for each of the next five years and in aggregate thereafter consisted of the following:</t>
  </si>
  <si>
    <t>C.Himes - Plaza Lease</t>
  </si>
  <si>
    <t>C.Himes - Ybor Lease</t>
  </si>
  <si>
    <t>Leases</t>
  </si>
  <si>
    <t>Jan Actual</t>
  </si>
  <si>
    <t>Feb Actual</t>
  </si>
  <si>
    <t>Mar Actual</t>
  </si>
  <si>
    <t>Apr Actual</t>
  </si>
  <si>
    <t>May Actual</t>
  </si>
  <si>
    <t>Jun Actual</t>
  </si>
  <si>
    <t>Jul  Actual</t>
  </si>
  <si>
    <t>Aug Actual</t>
  </si>
  <si>
    <t>Sep Actual</t>
  </si>
  <si>
    <t>Oct Actual</t>
  </si>
  <si>
    <t>Nov Actual</t>
  </si>
  <si>
    <t>Dec Actual</t>
  </si>
  <si>
    <t>Sep Forecast</t>
  </si>
  <si>
    <t>Oct Forecast</t>
  </si>
  <si>
    <t>Nov Forecast</t>
  </si>
  <si>
    <t>Dec Forecast</t>
  </si>
  <si>
    <t>000</t>
  </si>
  <si>
    <t>NET INCOME</t>
  </si>
  <si>
    <t>NET_INCOME</t>
  </si>
  <si>
    <t>NET_INCOME,LDEP(2,NET_INCOME) AND CALC=Y</t>
  </si>
  <si>
    <t>TRUE</t>
  </si>
  <si>
    <t>INCOME_STATEMENT</t>
  </si>
  <si>
    <t>RECON / FLEX</t>
  </si>
  <si>
    <t>RECON</t>
  </si>
  <si>
    <t>NET_INCOME,LDEP(99,NET_INCOME) AND CALC=Y</t>
  </si>
  <si>
    <t>EPMReportOptions on report 000</t>
  </si>
  <si>
    <t>RECON TEC</t>
  </si>
  <si>
    <t>RECON_TEC</t>
  </si>
  <si>
    <t>NET_INCOME,LDEP(99,NET_INCOME)</t>
  </si>
  <si>
    <t>\EPMCopyRange(B1,TRUE,L4:Z4,TRUE)</t>
  </si>
  <si>
    <t>E_NetIncomeCS_USGAAP</t>
  </si>
  <si>
    <t>EMERA ADJUSMENTS</t>
  </si>
  <si>
    <t>FORECAST</t>
  </si>
  <si>
    <t>2024</t>
  </si>
  <si>
    <t>WKG_BUDGET</t>
  </si>
  <si>
    <t>1001,E10000</t>
  </si>
  <si>
    <t>2023</t>
  </si>
  <si>
    <t>2023.TOTAL</t>
  </si>
  <si>
    <t>FCST_7_5</t>
  </si>
  <si>
    <t>E_2201</t>
  </si>
  <si>
    <t>FCST_0_12</t>
  </si>
  <si>
    <t>NO_FLOW</t>
  </si>
  <si>
    <t>FCST_1_11</t>
  </si>
  <si>
    <t>ALL_IE_ENTITIES</t>
  </si>
  <si>
    <t>FCST_2_10</t>
  </si>
  <si>
    <t>PA</t>
  </si>
  <si>
    <t>A</t>
  </si>
  <si>
    <t>F</t>
  </si>
  <si>
    <t>LC</t>
  </si>
  <si>
    <t>FCST_3_9</t>
  </si>
  <si>
    <t>FCST_4_8</t>
  </si>
  <si>
    <t>2023.JAN</t>
  </si>
  <si>
    <t>2023.FEB</t>
  </si>
  <si>
    <t>2023.MAR</t>
  </si>
  <si>
    <t>2023.APR</t>
  </si>
  <si>
    <t>2023.MAY</t>
  </si>
  <si>
    <t>2023.JUN</t>
  </si>
  <si>
    <t>2023.JUL</t>
  </si>
  <si>
    <t>2023.AUG</t>
  </si>
  <si>
    <t>2023.SEP</t>
  </si>
  <si>
    <t>2023.OCT</t>
  </si>
  <si>
    <t>2023.NOV</t>
  </si>
  <si>
    <t>2023.DEC</t>
  </si>
  <si>
    <t>PERIODIC</t>
  </si>
  <si>
    <t>FCST_5_7</t>
  </si>
  <si>
    <t>FNL_BUDGET</t>
  </si>
  <si>
    <t>FCST_6_6</t>
  </si>
  <si>
    <t>TOTAL_REST_FI</t>
  </si>
  <si>
    <t>CURRENT</t>
  </si>
  <si>
    <t>Expansion of C_ACCOUNT Overriden</t>
  </si>
  <si>
    <t>FCST_8_4</t>
  </si>
  <si>
    <t>Expansion of COSTCENTER Overriden</t>
  </si>
  <si>
    <t>FCST_9_3</t>
  </si>
  <si>
    <t>FCST_10_2</t>
  </si>
  <si>
    <t>FCST_11_1</t>
  </si>
  <si>
    <t>Select Category&gt;&gt;&gt;</t>
  </si>
  <si>
    <t>Archived 7+5 For</t>
  </si>
  <si>
    <t>Select Entity&gt;&gt;&gt;</t>
  </si>
  <si>
    <t>Select Time&gt;&gt;&gt;</t>
  </si>
  <si>
    <t>2023 TOTAL</t>
  </si>
  <si>
    <t>NOTE - PLEASE RUN A REFRESH IF YOU CHANGE THIS SETTING.</t>
  </si>
  <si>
    <t>INCOME STATEMENT REPORT</t>
  </si>
  <si>
    <t>NOTE - BEFORE STARTING ANY WORK ON THIS TAB, PLEASE RUN A REFRESH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</si>
  <si>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</si>
  <si>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</si>
  <si>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</si>
  <si>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</si>
  <si>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</si>
  <si>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</si>
  <si>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</si>
  <si>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</si>
  <si>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</si>
  <si>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</si>
  <si>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</si>
  <si>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</si>
  <si>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1001</t>
  </si>
  <si>
    <t>CNT_OPS</t>
  </si>
  <si>
    <t>Income from Continuing Operations</t>
  </si>
  <si>
    <t>OP_REV_EX</t>
  </si>
  <si>
    <t>Operating Income</t>
  </si>
  <si>
    <t>REVENUES</t>
  </si>
  <si>
    <t>REG_ELEC_GAS</t>
  </si>
  <si>
    <t>Regulated Electric and Gas</t>
  </si>
  <si>
    <t>ELECTRIC</t>
  </si>
  <si>
    <t>Electric</t>
  </si>
  <si>
    <t>RESIDENTIAL</t>
  </si>
  <si>
    <t>Residential</t>
  </si>
  <si>
    <t>A_4400010</t>
  </si>
  <si>
    <t>Residential Base Revenue</t>
  </si>
  <si>
    <t>A_4400020</t>
  </si>
  <si>
    <t>Residential Sales Fuel Adjustment Revenue</t>
  </si>
  <si>
    <t>A_4400030</t>
  </si>
  <si>
    <t>Residential Capacity Revenue</t>
  </si>
  <si>
    <t>A_4400040</t>
  </si>
  <si>
    <t>Residential Conservation Revenue</t>
  </si>
  <si>
    <t>A_4400050</t>
  </si>
  <si>
    <t>Residential Environmental Revenue</t>
  </si>
  <si>
    <t>A_4400060</t>
  </si>
  <si>
    <t>Residential Franchise Revenue</t>
  </si>
  <si>
    <t>.</t>
  </si>
  <si>
    <t>A_4400070</t>
  </si>
  <si>
    <t>Residential Gross Receipts Tax Revenue</t>
  </si>
  <si>
    <t>A_4400090</t>
  </si>
  <si>
    <t>Residential Storm Revenue</t>
  </si>
  <si>
    <t>A_4400091</t>
  </si>
  <si>
    <t>Residential CETM Revenue</t>
  </si>
  <si>
    <t>A_4400092</t>
  </si>
  <si>
    <t>Residential Storm Surcharge</t>
  </si>
  <si>
    <t>COMMERCIAL</t>
  </si>
  <si>
    <t>Commercial</t>
  </si>
  <si>
    <t>SMALL_COMMERCIAL</t>
  </si>
  <si>
    <t>Small Commercial</t>
  </si>
  <si>
    <t>A_4420010</t>
  </si>
  <si>
    <t>Commercial Small Base Revenue</t>
  </si>
  <si>
    <t>A_4420020</t>
  </si>
  <si>
    <t>Commercial Small Sales Fuel Adjustment Revenue</t>
  </si>
  <si>
    <t>A_4420030</t>
  </si>
  <si>
    <t>Commercial Small Capacity Revenue</t>
  </si>
  <si>
    <t>A_4420040</t>
  </si>
  <si>
    <t>Commercial Small Conservation Revenue</t>
  </si>
  <si>
    <t>A_4420050</t>
  </si>
  <si>
    <t>Commercial Small Environmental Revenue</t>
  </si>
  <si>
    <t>A_4420060</t>
  </si>
  <si>
    <t>Commercial Small Franchise Revenue</t>
  </si>
  <si>
    <t>A_4420070</t>
  </si>
  <si>
    <t>Commercial Small Gross Receipts Tax Revenue</t>
  </si>
  <si>
    <t>A_4420090</t>
  </si>
  <si>
    <t>Commercial Small Storm Revenue</t>
  </si>
  <si>
    <t>A_4420091</t>
  </si>
  <si>
    <t>Commercial Small CETM Revenue</t>
  </si>
  <si>
    <t>A_4420092</t>
  </si>
  <si>
    <t>Commercial Small Storm Surcharge</t>
  </si>
  <si>
    <t>LARGE_COMMERCIAL</t>
  </si>
  <si>
    <t>Large Commercial</t>
  </si>
  <si>
    <t>A_4420110</t>
  </si>
  <si>
    <t>Commercial Large Base Revenue</t>
  </si>
  <si>
    <t>A_4420120</t>
  </si>
  <si>
    <t>Commercial Large Sales Fuel Adjustment</t>
  </si>
  <si>
    <t>A_4420130</t>
  </si>
  <si>
    <t>Commercial Large Capacity Revenue</t>
  </si>
  <si>
    <t>A_4420140</t>
  </si>
  <si>
    <t>Commercial Large Conservation Revenue</t>
  </si>
  <si>
    <t>A_4420150</t>
  </si>
  <si>
    <t>Commercial Large Environmental Revenue</t>
  </si>
  <si>
    <t>A_4420160</t>
  </si>
  <si>
    <t>Commercial Large Franchise Revenue</t>
  </si>
  <si>
    <t>A_4420170</t>
  </si>
  <si>
    <t>Commercial Large Gross Receipts Tax Revenue</t>
  </si>
  <si>
    <t>A_4420180</t>
  </si>
  <si>
    <t>Commercial Large Optional Billing Provision</t>
  </si>
  <si>
    <t>A_4420190</t>
  </si>
  <si>
    <t>Commercial Large Storm Revenue</t>
  </si>
  <si>
    <t>A_4420191</t>
  </si>
  <si>
    <t>Commercial Large CETM Revenue</t>
  </si>
  <si>
    <t>A_4420192</t>
  </si>
  <si>
    <t>Commercial Large Storm Surcharge</t>
  </si>
  <si>
    <t>INDUSTRIAL</t>
  </si>
  <si>
    <t>Industrial</t>
  </si>
  <si>
    <t>INDUSTRIAL-PHOSPHATE</t>
  </si>
  <si>
    <t>Industrial-Phosphate</t>
  </si>
  <si>
    <t>SMALL_PHOSPHATE</t>
  </si>
  <si>
    <t>Small Phosphate</t>
  </si>
  <si>
    <t>A_4420210</t>
  </si>
  <si>
    <t>Industrial-Phosphate Small Base Revenue</t>
  </si>
  <si>
    <t>A_4420220</t>
  </si>
  <si>
    <t>Industrial-Phosphate Small Sales Fuel Adjustment</t>
  </si>
  <si>
    <t>A_4420230</t>
  </si>
  <si>
    <t>Industrial-Phosphate Small Capacity Revenue</t>
  </si>
  <si>
    <t>A_4420240</t>
  </si>
  <si>
    <t>Industrial-Phosphate Small Conservation Revenue</t>
  </si>
  <si>
    <t>A_4420250</t>
  </si>
  <si>
    <t>Industrial-Phosphate Small Environmental Revenue</t>
  </si>
  <si>
    <t>A_4420270</t>
  </si>
  <si>
    <t>Industrial-Phosphate Small Gross Receipts Tax Rev</t>
  </si>
  <si>
    <t>A_4420290</t>
  </si>
  <si>
    <t>Industrial-Phosphate Small Storm Revenue</t>
  </si>
  <si>
    <t>A_4420291</t>
  </si>
  <si>
    <t>Industrial-Phosphate Small CETM Revenue</t>
  </si>
  <si>
    <t>A_4420292</t>
  </si>
  <si>
    <t>Industrial Phosphate Small Storm Surcharge</t>
  </si>
  <si>
    <t>LARGE_PHOSPHATE</t>
  </si>
  <si>
    <t>Large Phosphate</t>
  </si>
  <si>
    <t>A_4420310</t>
  </si>
  <si>
    <t>Industrial-Phosphate Large Base Revenue</t>
  </si>
  <si>
    <t>A_4420320</t>
  </si>
  <si>
    <t>Industrial-Phosphate Large Sales Fuel Adjustment</t>
  </si>
  <si>
    <t>A_4420330</t>
  </si>
  <si>
    <t>Industrial-Phosphate Large Capacity Revenue</t>
  </si>
  <si>
    <t>A_4420340</t>
  </si>
  <si>
    <t>Industrial-Phosphate Large Conservation Revenue</t>
  </si>
  <si>
    <t>A_4420350</t>
  </si>
  <si>
    <t>Industrial-Phosphate Large Environmental Revenue</t>
  </si>
  <si>
    <t>A_4420370</t>
  </si>
  <si>
    <t>Industrial-Phosphate Large Gross Receipts Tax Rev</t>
  </si>
  <si>
    <t>A_4420380</t>
  </si>
  <si>
    <t>Industrial-Phosphate Large Optional Billing Provsn</t>
  </si>
  <si>
    <t>A_4420390</t>
  </si>
  <si>
    <t>Industrial-Phosphate Large Storm Revenue</t>
  </si>
  <si>
    <t>A_4420391</t>
  </si>
  <si>
    <t>Industrial-Phosphate Large CETM Revenue</t>
  </si>
  <si>
    <t>A_4420392</t>
  </si>
  <si>
    <t>Industrial-Phosphate Large Storm Surcharge</t>
  </si>
  <si>
    <t>INDUSTRIAL-OTHER</t>
  </si>
  <si>
    <t>Industrial-Other</t>
  </si>
  <si>
    <t>SMALL_IND_OTHER</t>
  </si>
  <si>
    <t>Small Ind Other</t>
  </si>
  <si>
    <t>A_4420410</t>
  </si>
  <si>
    <t>Industrial-Other Small Base Revenue</t>
  </si>
  <si>
    <t>A_4420420</t>
  </si>
  <si>
    <t>Industrial-Other Small Sales Fuel Adjustment Rev</t>
  </si>
  <si>
    <t>A_4420430</t>
  </si>
  <si>
    <t>Industrial-Other Small Capacity Revenue</t>
  </si>
  <si>
    <t>A_4420440</t>
  </si>
  <si>
    <t>Industrial-Other Small Conservation Revenue</t>
  </si>
  <si>
    <t>A_4420450</t>
  </si>
  <si>
    <t>Industrial-Other Small Environmental Revenue</t>
  </si>
  <si>
    <t>A_4420460</t>
  </si>
  <si>
    <t>Industrial-Other Small Franchise Revenue</t>
  </si>
  <si>
    <t>A_4420470</t>
  </si>
  <si>
    <t>Industrial-Other Small Gross Receipts Tax Rev</t>
  </si>
  <si>
    <t>A_4420490</t>
  </si>
  <si>
    <t>Industrial-Other Small Storm Revenue</t>
  </si>
  <si>
    <t>A_4420491</t>
  </si>
  <si>
    <t>Industrial-Other Small CETM Revenue</t>
  </si>
  <si>
    <t>A_4420492</t>
  </si>
  <si>
    <t>Industrial-Other Small Storm Surcharge</t>
  </si>
  <si>
    <t>LARGE_IND_OTHER</t>
  </si>
  <si>
    <t>Large Ind Other</t>
  </si>
  <si>
    <t>A_4420510</t>
  </si>
  <si>
    <t>Industrial-Other Large Base Revenue</t>
  </si>
  <si>
    <t>A_4420520</t>
  </si>
  <si>
    <t>Industrial-Other Large Sales Fuel Adjustment</t>
  </si>
  <si>
    <t>A_4420530</t>
  </si>
  <si>
    <t>Industrial-Other Large Capacity Revenue</t>
  </si>
  <si>
    <t>A_4420540</t>
  </si>
  <si>
    <t>Industrial-Other Large Conservation Revenue</t>
  </si>
  <si>
    <t>A_4420550</t>
  </si>
  <si>
    <t>Industrial-Other Large Environmental Revenue</t>
  </si>
  <si>
    <t>A_4420560</t>
  </si>
  <si>
    <t>Industrial-Other Large Franchise Revenue</t>
  </si>
  <si>
    <t>A_4420570</t>
  </si>
  <si>
    <t>Industrial-Other Large Gross Receipts Tax Revenue</t>
  </si>
  <si>
    <t>A_4420580</t>
  </si>
  <si>
    <t>Industrial-Other Large Optional Billing Provision</t>
  </si>
  <si>
    <t>A_4420590</t>
  </si>
  <si>
    <t>Industrial-Other Large Storm Revenue</t>
  </si>
  <si>
    <t>A_4420591</t>
  </si>
  <si>
    <t>Industrial-Other Large CETM Revenue</t>
  </si>
  <si>
    <t>A_4420592</t>
  </si>
  <si>
    <t>Industrial-Other Large Storm Surcharge</t>
  </si>
  <si>
    <t>ST_HGWAY_LIGHTING</t>
  </si>
  <si>
    <t>Public Street and Highway Lighting</t>
  </si>
  <si>
    <t>ST_HW_LGH</t>
  </si>
  <si>
    <t>A_4440010</t>
  </si>
  <si>
    <t>Public Street HW Lighting Base Revenue</t>
  </si>
  <si>
    <t>A_4440020</t>
  </si>
  <si>
    <t>Public Street HW Lighting Sales Fuel Adjustment</t>
  </si>
  <si>
    <t>A_4440030</t>
  </si>
  <si>
    <t>Public Street HW Lighting Capacity Revenue</t>
  </si>
  <si>
    <t>A_4440040</t>
  </si>
  <si>
    <t>Public Street HW Lighting Conservation Revenue</t>
  </si>
  <si>
    <t>A_4440050</t>
  </si>
  <si>
    <t>Public Street HW Lighting Environmental Revenue</t>
  </si>
  <si>
    <t>A_4440060</t>
  </si>
  <si>
    <t>Public Street HW Lighting Franchise Revenue</t>
  </si>
  <si>
    <t>A_4440070</t>
  </si>
  <si>
    <t>Public Street HW Lighting Gross Receipts Tax Rev</t>
  </si>
  <si>
    <t>A_4440090</t>
  </si>
  <si>
    <t>Public Street HW Lighting Storm Revenue</t>
  </si>
  <si>
    <t>A_4440091</t>
  </si>
  <si>
    <t>Public Street HW Lighting CETM Revenue</t>
  </si>
  <si>
    <t>A_4440092</t>
  </si>
  <si>
    <t>Public Street HW Lighting Storm Surcharge</t>
  </si>
  <si>
    <t>OTHER_SALES_PA</t>
  </si>
  <si>
    <t>Other Sales to Public Authorities</t>
  </si>
  <si>
    <t>A_4450010</t>
  </si>
  <si>
    <t>Oth Sales Public Authority Base Revenue</t>
  </si>
  <si>
    <t>A_4450020</t>
  </si>
  <si>
    <t>Oth Sales Public Authority Sales Fuel Adjustment</t>
  </si>
  <si>
    <t>A_4450030</t>
  </si>
  <si>
    <t>Oth Sales Public Authority Capacity Revenue</t>
  </si>
  <si>
    <t>A_4450040</t>
  </si>
  <si>
    <t>Oth Sales Public Authority Conservation Revenue</t>
  </si>
  <si>
    <t>A_4450050</t>
  </si>
  <si>
    <t>Oth Sales Public Authority Environmental Revenue</t>
  </si>
  <si>
    <t>A_4450060</t>
  </si>
  <si>
    <t>Oth Sales Public Authority Franchise Revenue</t>
  </si>
  <si>
    <t>A_4450070</t>
  </si>
  <si>
    <t>Oth Sales Public Authority Gross Receipts Tax Rev</t>
  </si>
  <si>
    <t>A_4450090</t>
  </si>
  <si>
    <t>Oth Sales Public Authority Storm Revenue</t>
  </si>
  <si>
    <t>A_4450091</t>
  </si>
  <si>
    <t>Oth Sales Public Authority CETM Revenue</t>
  </si>
  <si>
    <t>A_4450092</t>
  </si>
  <si>
    <t>Oth Sales Public Authority Storm Surcharge</t>
  </si>
  <si>
    <t>Elec_DCR_Rev</t>
  </si>
  <si>
    <t>Electric Deferred Clause Recovery Revenue</t>
  </si>
  <si>
    <t>DFD_CLS_RECOV</t>
  </si>
  <si>
    <t>Deferred Clause Recovery</t>
  </si>
  <si>
    <t>A_4073020</t>
  </si>
  <si>
    <t>REG DR Defd Fuel and Purchased Power</t>
  </si>
  <si>
    <t>A_4073022</t>
  </si>
  <si>
    <t>REG DR Asset Optimization</t>
  </si>
  <si>
    <t>A_4073030</t>
  </si>
  <si>
    <t>REG DR Defd Capacity</t>
  </si>
  <si>
    <t>A_4073040</t>
  </si>
  <si>
    <t>REG DR Defd Conservation Electric</t>
  </si>
  <si>
    <t>A_4073050</t>
  </si>
  <si>
    <t>REG DR Defd Environmental</t>
  </si>
  <si>
    <t>A_4073090</t>
  </si>
  <si>
    <t>REG DR Defd SPPCRC</t>
  </si>
  <si>
    <t>A_4073213</t>
  </si>
  <si>
    <t>REG DR Defd (CETM) Clean Energy Trans Mechanism</t>
  </si>
  <si>
    <t>A_4074031</t>
  </si>
  <si>
    <t>REG CR Defd Capacity - Amortization</t>
  </si>
  <si>
    <t>A_4074041</t>
  </si>
  <si>
    <t>REG CR Defd Conservation - Elec - Amortiz</t>
  </si>
  <si>
    <t>A_4074051</t>
  </si>
  <si>
    <t>REG CR Defd Environmental - Amortization</t>
  </si>
  <si>
    <t>A_4074091</t>
  </si>
  <si>
    <t>REG CR Defd SPPCRC - Amortization</t>
  </si>
  <si>
    <t>Elec_Oth_Rev</t>
  </si>
  <si>
    <t>Other Revenues</t>
  </si>
  <si>
    <t>Acc_Unb_Rev</t>
  </si>
  <si>
    <t>Accrued Unbilled Revenue</t>
  </si>
  <si>
    <t>A_4560900</t>
  </si>
  <si>
    <t>Unbilled Revenue</t>
  </si>
  <si>
    <t>INTERCHANGE_SALES</t>
  </si>
  <si>
    <t>Interchange Sales</t>
  </si>
  <si>
    <t>A_4470010</t>
  </si>
  <si>
    <t>Recoverable Retail Non-Separated Sales for Resale</t>
  </si>
  <si>
    <t>A_4470011</t>
  </si>
  <si>
    <t>Non-Recoverable Retail Non-Separated Sales Resale</t>
  </si>
  <si>
    <t>A_4470012</t>
  </si>
  <si>
    <t>Recoverable Retail Non-Separated Sales for Resale-Margin</t>
  </si>
  <si>
    <t>MISC_SERV_REV</t>
  </si>
  <si>
    <t>Miscellaneous Service Revenues</t>
  </si>
  <si>
    <t>A_4510800</t>
  </si>
  <si>
    <t>Miscellaneous Service Revenues - Other</t>
  </si>
  <si>
    <t>A_4510100</t>
  </si>
  <si>
    <t>Misc Svc Rev - Connection - Same Day Service</t>
  </si>
  <si>
    <t>A_4510101</t>
  </si>
  <si>
    <t>Misc Svc Rev - Connection - Saturday</t>
  </si>
  <si>
    <t>A_4510102</t>
  </si>
  <si>
    <t>Misc Svc Rev - Reconnect - at Pole</t>
  </si>
  <si>
    <t>A_4510103</t>
  </si>
  <si>
    <t>Misc Svc Rev - Reconnect - Subsequent Subscriber</t>
  </si>
  <si>
    <t>A_4510104</t>
  </si>
  <si>
    <t>Misc Svc Rev - Reconnect - at Meter</t>
  </si>
  <si>
    <t>A_4510107</t>
  </si>
  <si>
    <t>Misc Svc Rev - Late Payment Fee</t>
  </si>
  <si>
    <t>A_4510108</t>
  </si>
  <si>
    <t>Misc Svc Rev - Initial Turn On</t>
  </si>
  <si>
    <t>A_4510109</t>
  </si>
  <si>
    <t>Misc Svc Rev - Temp. Svcs</t>
  </si>
  <si>
    <t>A_4510110</t>
  </si>
  <si>
    <t>Misc Svc Rev - Tampering</t>
  </si>
  <si>
    <t>A_4510111</t>
  </si>
  <si>
    <t>Misc Svc Rev - Returned Check</t>
  </si>
  <si>
    <t>A_4510112</t>
  </si>
  <si>
    <t>Misc Svc Rev - Field Credit Check</t>
  </si>
  <si>
    <t>A_4510113</t>
  </si>
  <si>
    <t>Misc Svc Rev - Billing Adjustments</t>
  </si>
  <si>
    <t>RENT_ELEC_PROP</t>
  </si>
  <si>
    <t>Rent from Electric Property</t>
  </si>
  <si>
    <t>A_4540010</t>
  </si>
  <si>
    <t>Rental Revenue - Commercial Property</t>
  </si>
  <si>
    <t>A_4540020</t>
  </si>
  <si>
    <t>Rental Revenue - Agricultural Property</t>
  </si>
  <si>
    <t>A_4540030</t>
  </si>
  <si>
    <t>Rental Revenue - Electric Equipment</t>
  </si>
  <si>
    <t>A_4540081</t>
  </si>
  <si>
    <t>Rental Revenue - Pole Attachments - Distribution</t>
  </si>
  <si>
    <t>A_4540040</t>
  </si>
  <si>
    <t>Rental Revenue - Big Bend Station</t>
  </si>
  <si>
    <t>A_4540700</t>
  </si>
  <si>
    <t>Rental Revenue - Intercompany</t>
  </si>
  <si>
    <t>A_4540701</t>
  </si>
  <si>
    <t>Rental Revenue - Intercompany - Asset Usage Fee</t>
  </si>
  <si>
    <t>A_4540800</t>
  </si>
  <si>
    <t>Rental Revenue - MetroLink</t>
  </si>
  <si>
    <t>A_4550000</t>
  </si>
  <si>
    <t>Interdepartmental Rents</t>
  </si>
  <si>
    <t>A_4550001</t>
  </si>
  <si>
    <t>Interdepartmental Rents - Asset Usage Fee</t>
  </si>
  <si>
    <t>OTH_ELEC_REV</t>
  </si>
  <si>
    <t>Other Electric Revenues</t>
  </si>
  <si>
    <t>A_4560020</t>
  </si>
  <si>
    <t>Other Revenue - At-Cost Job Orders</t>
  </si>
  <si>
    <t>A_4560030</t>
  </si>
  <si>
    <t>Other Revenue - Sales Tax</t>
  </si>
  <si>
    <t>A_4560050</t>
  </si>
  <si>
    <t>Other Revenue - Training Modules</t>
  </si>
  <si>
    <t>A_4560080</t>
  </si>
  <si>
    <t>Other Revenue - Cogen Maintenance - Transmission</t>
  </si>
  <si>
    <t>A_4560120</t>
  </si>
  <si>
    <t>Other Revenue - Green Power Program</t>
  </si>
  <si>
    <t>A_4560180</t>
  </si>
  <si>
    <t>Other Revenue - Asset Optimization</t>
  </si>
  <si>
    <t>A_4560190</t>
  </si>
  <si>
    <t>Other Revenue - Lighting Smart Service-Regulated</t>
  </si>
  <si>
    <t>A_4560200</t>
  </si>
  <si>
    <t>OATT Pt to Pt Revenue</t>
  </si>
  <si>
    <t>A_4560210</t>
  </si>
  <si>
    <t>OATT Ancillary Scheduling Revenue</t>
  </si>
  <si>
    <t>A_4560230</t>
  </si>
  <si>
    <t>OATT GSI Penalty Revenue</t>
  </si>
  <si>
    <t>A_4560401</t>
  </si>
  <si>
    <t>Pt to Pt Transmission Non Separated Sale-Retail</t>
  </si>
  <si>
    <t>A_4560411</t>
  </si>
  <si>
    <t>Ancillary Transmission Non Separated-Retail</t>
  </si>
  <si>
    <t>A_4560660</t>
  </si>
  <si>
    <t>Other Revenue - Gypsum Excluding ECRC</t>
  </si>
  <si>
    <t>A_4560800</t>
  </si>
  <si>
    <t>Other Revenue - Miscellaneous</t>
  </si>
  <si>
    <t>OTH_OPER_REV</t>
  </si>
  <si>
    <t>Other Operating Revenues</t>
  </si>
  <si>
    <t>A_4118010</t>
  </si>
  <si>
    <t>SO2 Allowance Sales - Retail</t>
  </si>
  <si>
    <t>A_4118030</t>
  </si>
  <si>
    <t>REC Sales - Retail</t>
  </si>
  <si>
    <t>EXPENSES</t>
  </si>
  <si>
    <t>OPERATING EXPENSES</t>
  </si>
  <si>
    <t>OP_AND_MAINT</t>
  </si>
  <si>
    <t>Operations and Maintenance</t>
  </si>
  <si>
    <t>FUEL</t>
  </si>
  <si>
    <t>Fuel Expenses</t>
  </si>
  <si>
    <t>A_4073021</t>
  </si>
  <si>
    <t>REG DR Defd Fuel and Purchased Power - Amortiz</t>
  </si>
  <si>
    <t>A_4074020</t>
  </si>
  <si>
    <t>REG CR Defd Fuel and Purchased Power</t>
  </si>
  <si>
    <t>A_4074030</t>
  </si>
  <si>
    <t>REG CR Defd Capacity</t>
  </si>
  <si>
    <t>A_6200010</t>
  </si>
  <si>
    <t>Fuel Expense - Coal Recoverable</t>
  </si>
  <si>
    <t>A_6200030</t>
  </si>
  <si>
    <t>Fuel Expense - Natural Gas</t>
  </si>
  <si>
    <t>A_6200040</t>
  </si>
  <si>
    <t>Fuel Expense - Oil burned for generation</t>
  </si>
  <si>
    <t>A_6200060</t>
  </si>
  <si>
    <t>Fuel Expense - SO2 credits. Nox</t>
  </si>
  <si>
    <t>A_S6200010</t>
  </si>
  <si>
    <t>Settled Fuel Expense - Coal Recoverable</t>
  </si>
  <si>
    <t>A_S6200030</t>
  </si>
  <si>
    <t>Settled Fuel Expense - Natural Gas</t>
  </si>
  <si>
    <t>A_S6200040</t>
  </si>
  <si>
    <t>Settled Fuel Expense - Oil burned for generation</t>
  </si>
  <si>
    <t>A_6200080</t>
  </si>
  <si>
    <t>Fuel Renew Energy CRs</t>
  </si>
  <si>
    <t>PURCHASED_POWER</t>
  </si>
  <si>
    <t>Purchased Power</t>
  </si>
  <si>
    <t>A_6250100</t>
  </si>
  <si>
    <t>A_S6250100</t>
  </si>
  <si>
    <t>Settled Purchased Power</t>
  </si>
  <si>
    <t>OM_OTHER</t>
  </si>
  <si>
    <t>O&amp;M Other</t>
  </si>
  <si>
    <t>DEF_CLAUSE_RECOV_EXP</t>
  </si>
  <si>
    <t>Deferred Clause Recovery Expense</t>
  </si>
  <si>
    <t>A_4073200</t>
  </si>
  <si>
    <t>REG DR Deferred PBOP FAS106</t>
  </si>
  <si>
    <t>A_4073212</t>
  </si>
  <si>
    <t>REG DR Tax Reform</t>
  </si>
  <si>
    <t>A_4074040</t>
  </si>
  <si>
    <t>REG CR Defd Conservation - Elec</t>
  </si>
  <si>
    <t>A_4074050</t>
  </si>
  <si>
    <t>REG CR Defd Environmental</t>
  </si>
  <si>
    <t>A_4074090</t>
  </si>
  <si>
    <t>REG CR Defd SPPCRC</t>
  </si>
  <si>
    <t>A_4074211</t>
  </si>
  <si>
    <t>REG CR FERC Wholesale (AFUDC) - Amortization</t>
  </si>
  <si>
    <t>A_4070211</t>
  </si>
  <si>
    <t>Unrecov Plant DR Defd - CETM</t>
  </si>
  <si>
    <t>LABOR</t>
  </si>
  <si>
    <t>Labor</t>
  </si>
  <si>
    <t>A_6010110</t>
  </si>
  <si>
    <t>Labor Exempt - Straight Time</t>
  </si>
  <si>
    <t>A_6010120</t>
  </si>
  <si>
    <t>Labor Exempt - Overtime</t>
  </si>
  <si>
    <t>A_6010130</t>
  </si>
  <si>
    <t>Labor Exempt - Non-Productive Time</t>
  </si>
  <si>
    <t>A_6010210</t>
  </si>
  <si>
    <t>Labor Non Exempt - Straight Time</t>
  </si>
  <si>
    <t>A_6010220</t>
  </si>
  <si>
    <t>Labor Non Exempt - Overtime</t>
  </si>
  <si>
    <t>A_6010230</t>
  </si>
  <si>
    <t>Labor Non Exempt - Non-Productive Time</t>
  </si>
  <si>
    <t>A_6010310</t>
  </si>
  <si>
    <t>Labor Union - Straight Time</t>
  </si>
  <si>
    <t>A_6010320</t>
  </si>
  <si>
    <t>Labor Union - Overtime</t>
  </si>
  <si>
    <t>A_6010330</t>
  </si>
  <si>
    <t>Labor Union - Non-Productive Time</t>
  </si>
  <si>
    <t>A_6010400</t>
  </si>
  <si>
    <t>Labor Severance</t>
  </si>
  <si>
    <t>A_6010900</t>
  </si>
  <si>
    <t>Labor Commissions</t>
  </si>
  <si>
    <t>A_6010990</t>
  </si>
  <si>
    <t>Labor Seconded Employees</t>
  </si>
  <si>
    <t>A_6010910</t>
  </si>
  <si>
    <t>Labor Off-Cycle Bonus</t>
  </si>
  <si>
    <t>A_6018999</t>
  </si>
  <si>
    <t>Labor Expense Reclass</t>
  </si>
  <si>
    <t>A_6019000</t>
  </si>
  <si>
    <t>Labor Expense sent to Balance Sheet</t>
  </si>
  <si>
    <t>A_6019900</t>
  </si>
  <si>
    <t>ST Labor &amp; Benefits Expense to Balance Sheet</t>
  </si>
  <si>
    <t>A_6019910</t>
  </si>
  <si>
    <t>OT Labor &amp; Benefits Expense to Balance Sheet</t>
  </si>
  <si>
    <t>A_S6010000</t>
  </si>
  <si>
    <t>Settled Labor Expense</t>
  </si>
  <si>
    <t>A_S6019900</t>
  </si>
  <si>
    <t>Settled ST Labor &amp; Benefits Expense</t>
  </si>
  <si>
    <t>A_S6019910</t>
  </si>
  <si>
    <t>Settled OT Labor &amp; Benefits Expense</t>
  </si>
  <si>
    <t>A_S6010990</t>
  </si>
  <si>
    <t>Settled Labor Seconded Employees</t>
  </si>
  <si>
    <t>A_S6018999</t>
  </si>
  <si>
    <t>Settled Labor Expense Reclass</t>
  </si>
  <si>
    <t>A_S6010010</t>
  </si>
  <si>
    <t>Settled SLR Overtime Blended Labor</t>
  </si>
  <si>
    <t>BENEFITS</t>
  </si>
  <si>
    <t>Benefits</t>
  </si>
  <si>
    <t>A_6020010</t>
  </si>
  <si>
    <t>Benefit Plan Admin Fees</t>
  </si>
  <si>
    <t>A_6020020</t>
  </si>
  <si>
    <t>Tuition Reimbursement</t>
  </si>
  <si>
    <t>A_6020030</t>
  </si>
  <si>
    <t>Life Insurance</t>
  </si>
  <si>
    <t>A_6020040</t>
  </si>
  <si>
    <t>Long-term Care Insurance</t>
  </si>
  <si>
    <t>A_6020050</t>
  </si>
  <si>
    <t>Medical Insurance - Active</t>
  </si>
  <si>
    <t>A_6020060</t>
  </si>
  <si>
    <t>Pensions</t>
  </si>
  <si>
    <t>A_6020080</t>
  </si>
  <si>
    <t>Post Retirement Benefits FAS 106 - Active</t>
  </si>
  <si>
    <t>A_6020090</t>
  </si>
  <si>
    <t>Post Retirememt Benefits FAS 106 - Retiree</t>
  </si>
  <si>
    <t>A_6020100</t>
  </si>
  <si>
    <t>Long-term incentive Expense</t>
  </si>
  <si>
    <t>A_6020110</t>
  </si>
  <si>
    <t>Employee Wellness</t>
  </si>
  <si>
    <t>A_6020130</t>
  </si>
  <si>
    <t>Employer 401K Fixed Match</t>
  </si>
  <si>
    <t>A_6020140</t>
  </si>
  <si>
    <t>Employer 401K Performance Match</t>
  </si>
  <si>
    <t>A_6020150</t>
  </si>
  <si>
    <t>Supplemental Executive Retirement Plan (SERP)</t>
  </si>
  <si>
    <t>A_6020170</t>
  </si>
  <si>
    <t>Long-term Disability - FAS 112</t>
  </si>
  <si>
    <t>A_6020180</t>
  </si>
  <si>
    <t>Long-term Disability Premiums</t>
  </si>
  <si>
    <t>A_6020220</t>
  </si>
  <si>
    <t>Vacations (accrual)</t>
  </si>
  <si>
    <t>A_6020230</t>
  </si>
  <si>
    <t>Restoriation Benefit Plan Expense</t>
  </si>
  <si>
    <t>A_6020240</t>
  </si>
  <si>
    <t>Employer Match on Common Stock Purchase Program</t>
  </si>
  <si>
    <t>A_6020800</t>
  </si>
  <si>
    <t>Benefits - Other</t>
  </si>
  <si>
    <t>A_6020900</t>
  </si>
  <si>
    <t>Employee Incentive Expense</t>
  </si>
  <si>
    <t>A_6020920</t>
  </si>
  <si>
    <t>Employee Service Awards</t>
  </si>
  <si>
    <t>A_6028999</t>
  </si>
  <si>
    <t>Benefits Fringe Reclass</t>
  </si>
  <si>
    <t>A_6029000</t>
  </si>
  <si>
    <t>Benefits Expense sent to Balance Sheet</t>
  </si>
  <si>
    <t>A_P6020000</t>
  </si>
  <si>
    <t>Planned Benefits Expense</t>
  </si>
  <si>
    <t>A_S6020000</t>
  </si>
  <si>
    <t>Settled Benefits Expense</t>
  </si>
  <si>
    <t>A_C6020000</t>
  </si>
  <si>
    <t>Fringe Adder</t>
  </si>
  <si>
    <t>A_6020131</t>
  </si>
  <si>
    <t>Employer 401K – IBEW Plan Match</t>
  </si>
  <si>
    <t>A_S6020010</t>
  </si>
  <si>
    <t>Settled Benefit Plan Admin Fees</t>
  </si>
  <si>
    <t>A_S6020020</t>
  </si>
  <si>
    <t>Settled Tuition Reimbursement</t>
  </si>
  <si>
    <t>A_S6020030</t>
  </si>
  <si>
    <t>Settled Life Insurance</t>
  </si>
  <si>
    <t>A_S6020040</t>
  </si>
  <si>
    <t>Settled Long-term Care Insurance</t>
  </si>
  <si>
    <t>A_S6020050</t>
  </si>
  <si>
    <t>Settled Medical Insurance - Active</t>
  </si>
  <si>
    <t>A_S6020060</t>
  </si>
  <si>
    <t>Settled Pensions</t>
  </si>
  <si>
    <t>A_S6020080</t>
  </si>
  <si>
    <t>Settled Post Retirement Benefits FAS 106 - Activ</t>
  </si>
  <si>
    <t>A_S6020090</t>
  </si>
  <si>
    <t>Settled Post Retirememt Benefits FAS 106 - Retir</t>
  </si>
  <si>
    <t>A_S6020100</t>
  </si>
  <si>
    <t>Settled Long-term Incentive Expense</t>
  </si>
  <si>
    <t>A_S6020110</t>
  </si>
  <si>
    <t>Settled Employee Wellness</t>
  </si>
  <si>
    <t>A_S6020130</t>
  </si>
  <si>
    <t>Settled Employer 401K Fixed Match</t>
  </si>
  <si>
    <t>A_S6020131</t>
  </si>
  <si>
    <t>Settled Employer 401K IBEW Plan Expense</t>
  </si>
  <si>
    <t>A_S6020150</t>
  </si>
  <si>
    <t>Settled Supplemental Executive Retirement</t>
  </si>
  <si>
    <t>A_S6020170</t>
  </si>
  <si>
    <t>Settled Long-term Disability - FAS 112</t>
  </si>
  <si>
    <t>A_S6020180</t>
  </si>
  <si>
    <t>Settled Long-term Disability Premiums</t>
  </si>
  <si>
    <t>A_S6020220</t>
  </si>
  <si>
    <t>Settled Vacations (accrual)</t>
  </si>
  <si>
    <t>A_S6020230</t>
  </si>
  <si>
    <t>Settled Restoration Benefit Plan Expense</t>
  </si>
  <si>
    <t>A_S6020800</t>
  </si>
  <si>
    <t>Settled Benefits - Other</t>
  </si>
  <si>
    <t>A_S6020900</t>
  </si>
  <si>
    <t>Settled Employee Incentive Expense</t>
  </si>
  <si>
    <t>A_S6020920</t>
  </si>
  <si>
    <t>Settled Employee Service Awards</t>
  </si>
  <si>
    <t>A_S6028999</t>
  </si>
  <si>
    <t>Settled Benefits Fringe Reclass</t>
  </si>
  <si>
    <t>EMPLOYEE_EXPENSES</t>
  </si>
  <si>
    <t>Employee Expenses</t>
  </si>
  <si>
    <t>A_6030010</t>
  </si>
  <si>
    <t>Empl Exp - Professional Dues. Subscriptions. Fees</t>
  </si>
  <si>
    <t>A_6030020</t>
  </si>
  <si>
    <t>Empl Exp - Social/Civic Dues</t>
  </si>
  <si>
    <t>A_6030030</t>
  </si>
  <si>
    <t>Inactive Acc - Do Not Use - Empl Exp - Meals &amp; Ent 100% Ded</t>
  </si>
  <si>
    <t>A_6030040</t>
  </si>
  <si>
    <t>Empl Exp - Meals &amp; Entertainment 50% Deductible</t>
  </si>
  <si>
    <t>A_6030050</t>
  </si>
  <si>
    <t>Empl Exp - Mileage</t>
  </si>
  <si>
    <t>A_6030060</t>
  </si>
  <si>
    <t>Empl Exp - Shoes and uniforms</t>
  </si>
  <si>
    <t>A_6030070</t>
  </si>
  <si>
    <t>Empl Exp - Training</t>
  </si>
  <si>
    <t>A_6030080</t>
  </si>
  <si>
    <t>Empl Exp - Travel and Lodging</t>
  </si>
  <si>
    <t>A_6030800</t>
  </si>
  <si>
    <t>Empl Exp - Miscellaneous Expense</t>
  </si>
  <si>
    <t>A_6039000</t>
  </si>
  <si>
    <t>Employee Reimb Expense sent to Balance Sheet</t>
  </si>
  <si>
    <t>A_S6030000</t>
  </si>
  <si>
    <t>Settled Employee Reimbursable Expense</t>
  </si>
  <si>
    <t>A_6030091</t>
  </si>
  <si>
    <t>Empl Exp - Employee Appreciation and Gift Cards</t>
  </si>
  <si>
    <t>A_S6030010</t>
  </si>
  <si>
    <t>Settled Empl Exp - Professional Dues Subscription</t>
  </si>
  <si>
    <t>A_S6030020</t>
  </si>
  <si>
    <t>Settled Empl Exp - Social/Civic Dues</t>
  </si>
  <si>
    <t>A_S6030030</t>
  </si>
  <si>
    <t>Inactive Account - Do Not Use - Stld Empl Exp - Meals &amp; Ent</t>
  </si>
  <si>
    <t>A_S6030040</t>
  </si>
  <si>
    <t>Settled Empl Exp - Meals &amp; Entertainment 50% Ded</t>
  </si>
  <si>
    <t>A_S6030050</t>
  </si>
  <si>
    <t>Settled Empl Exp - Mileage</t>
  </si>
  <si>
    <t>A_S6030060</t>
  </si>
  <si>
    <t>Settled Empl Exp - Shoes and uniforms</t>
  </si>
  <si>
    <t>A_S6030070</t>
  </si>
  <si>
    <t>Settled Empl Exp - Training</t>
  </si>
  <si>
    <t>A_S6030080</t>
  </si>
  <si>
    <t>Settled Empl Exp - Travel and Lodging</t>
  </si>
  <si>
    <t>A_S6030800</t>
  </si>
  <si>
    <t>Settled Empl Exp - Miscellaneous Expense</t>
  </si>
  <si>
    <t>A_S6038999</t>
  </si>
  <si>
    <t>Settled Employee Expense Reclass</t>
  </si>
  <si>
    <t>A_S6039000</t>
  </si>
  <si>
    <t>Settled Employee Reimb Expense to Balance Sheet</t>
  </si>
  <si>
    <t>A_S6030091</t>
  </si>
  <si>
    <t>Settled Empl Exp - Employee Appreciation and Gift Cards</t>
  </si>
  <si>
    <t>MAT_SUPPLIES_OM</t>
  </si>
  <si>
    <t>Materials and Supplies</t>
  </si>
  <si>
    <t>A_6400010</t>
  </si>
  <si>
    <t>Mat &amp; Supp - Furniture &amp; Computer/Office Equipment</t>
  </si>
  <si>
    <t>A_6400020</t>
  </si>
  <si>
    <t>Mat &amp; Supp - General and Office Supplies</t>
  </si>
  <si>
    <t>A_6400030</t>
  </si>
  <si>
    <t>Mat &amp; Supp - Chemicals</t>
  </si>
  <si>
    <t>A_6400040</t>
  </si>
  <si>
    <t>Mat &amp; Supp - Laboratory materials and supplies</t>
  </si>
  <si>
    <t>A_6400050</t>
  </si>
  <si>
    <t>Mat &amp; Supp - Lubricants</t>
  </si>
  <si>
    <t>A_6400060</t>
  </si>
  <si>
    <t>Mat &amp; Supp - Operations Consumables</t>
  </si>
  <si>
    <t>A_6400070</t>
  </si>
  <si>
    <t>Mat &amp; Supp - Safety/First Aid Supplies &amp; Equipment</t>
  </si>
  <si>
    <t>A_6400080</t>
  </si>
  <si>
    <t>Mat &amp; Supp - Vehicle Fuel</t>
  </si>
  <si>
    <t>A_6400100</t>
  </si>
  <si>
    <t>Mat &amp; Supp - Outside Material Purchases</t>
  </si>
  <si>
    <t>A_6400500</t>
  </si>
  <si>
    <t>Mat &amp; Supp - Parts</t>
  </si>
  <si>
    <t>A_6400505</t>
  </si>
  <si>
    <t>Mat &amp; Supp - Part Repairs</t>
  </si>
  <si>
    <t>A_6400510</t>
  </si>
  <si>
    <t>Mat &amp; Supp - Small Tools</t>
  </si>
  <si>
    <t>A_6400520</t>
  </si>
  <si>
    <t>Mat &amp; Supp - Obsolete Inventory</t>
  </si>
  <si>
    <t>A_6400530</t>
  </si>
  <si>
    <t>Mat &amp; Supp - Inventory Other</t>
  </si>
  <si>
    <t>A_6401000</t>
  </si>
  <si>
    <t>Mat &amp; Supp - Inventory Issue</t>
  </si>
  <si>
    <t>A_6401100</t>
  </si>
  <si>
    <t>Physical Inventory Differences</t>
  </si>
  <si>
    <t>A_6401200</t>
  </si>
  <si>
    <t>Materials Price Differences</t>
  </si>
  <si>
    <t>A_6401300</t>
  </si>
  <si>
    <t>Re-Stock Salvage</t>
  </si>
  <si>
    <t>A_6408999</t>
  </si>
  <si>
    <t>Materials &amp; Supplies Expense Reclass</t>
  </si>
  <si>
    <t>A_6409000</t>
  </si>
  <si>
    <t>Materials &amp; Supplies Expense sent to Balance Sheet</t>
  </si>
  <si>
    <t>A_S6400000</t>
  </si>
  <si>
    <t>Settled Materials &amp; Supplies Expense</t>
  </si>
  <si>
    <t>A_S6401000</t>
  </si>
  <si>
    <t>Settled M&amp;S Inventory Issues</t>
  </si>
  <si>
    <t>A_S6400010</t>
  </si>
  <si>
    <t>Settled Mat &amp; Supp - Furniture &amp; Computer</t>
  </si>
  <si>
    <t>A_S6400020</t>
  </si>
  <si>
    <t>Settled Mat &amp; Supp - General and Office</t>
  </si>
  <si>
    <t>A_S6400030</t>
  </si>
  <si>
    <t>Settled Mat &amp; Supp - Chemicals</t>
  </si>
  <si>
    <t>A_S6400040</t>
  </si>
  <si>
    <t>Settled Mat &amp; Supp - Laboratory material</t>
  </si>
  <si>
    <t>A_S6400050</t>
  </si>
  <si>
    <t>Settled Mat &amp; Supp - Lubricants</t>
  </si>
  <si>
    <t>A_S6400060</t>
  </si>
  <si>
    <t>Settled Mat &amp; Supp - Operations Consumables</t>
  </si>
  <si>
    <t>A_S6400070</t>
  </si>
  <si>
    <t>Settled Mat &amp; Supp - Safety/First Aid Supplies</t>
  </si>
  <si>
    <t>A_S6400080</t>
  </si>
  <si>
    <t>Settled Mat &amp; Supp - Vehicle Fuel</t>
  </si>
  <si>
    <t>A_S6400100</t>
  </si>
  <si>
    <t>Settled Mat &amp; Supp - Outside Material Purchases</t>
  </si>
  <si>
    <t>A_S6400510</t>
  </si>
  <si>
    <t>Settled Mat &amp; Supp - Small Tools</t>
  </si>
  <si>
    <t>A_S6400530</t>
  </si>
  <si>
    <t>Settled Mat &amp; Supp - Inventory Other</t>
  </si>
  <si>
    <t>A_S6401100</t>
  </si>
  <si>
    <t>Settled Physical Inventory Differences</t>
  </si>
  <si>
    <t>A_S6408999</t>
  </si>
  <si>
    <t>Settled Materials &amp; Supplies Expense Reclass</t>
  </si>
  <si>
    <t>INSURANCE</t>
  </si>
  <si>
    <t>Insurance</t>
  </si>
  <si>
    <t>A_6700400</t>
  </si>
  <si>
    <t>Insurance - FPSC Storm Reserve Expense Accrual</t>
  </si>
  <si>
    <t>A_6700502</t>
  </si>
  <si>
    <t>Insurance - Brokerage Fees</t>
  </si>
  <si>
    <t>A_6700503</t>
  </si>
  <si>
    <t>Insurance - Crime &amp; Fidelity</t>
  </si>
  <si>
    <t>A_6700504</t>
  </si>
  <si>
    <t>Insurance - Directors &amp; Officers</t>
  </si>
  <si>
    <t>A_6700505</t>
  </si>
  <si>
    <t>Insurance - Errors and Omissions</t>
  </si>
  <si>
    <t>A_6700506</t>
  </si>
  <si>
    <t>Insurance - Excess Automobile</t>
  </si>
  <si>
    <t>A_6700507</t>
  </si>
  <si>
    <t>Insurance - Excess General Liability</t>
  </si>
  <si>
    <t>A_6700508</t>
  </si>
  <si>
    <t>Insurance - Fiduciary</t>
  </si>
  <si>
    <t>A_6700509</t>
  </si>
  <si>
    <t>Insurance - I&amp;D Reserves</t>
  </si>
  <si>
    <t>A_6700510</t>
  </si>
  <si>
    <t>Insurance - Longshoremen's Compensation</t>
  </si>
  <si>
    <t>A_6700514</t>
  </si>
  <si>
    <t>Insurance - Property</t>
  </si>
  <si>
    <t>A_6700515</t>
  </si>
  <si>
    <t>Insurance - Punitive Damages</t>
  </si>
  <si>
    <t>A_6700516</t>
  </si>
  <si>
    <t>Insurance - Special Risk</t>
  </si>
  <si>
    <t>A_6700517</t>
  </si>
  <si>
    <t>Insurance - Surety Bonds</t>
  </si>
  <si>
    <t>A_6700518</t>
  </si>
  <si>
    <t>Insurance - Travel Accident</t>
  </si>
  <si>
    <t>A_6700519</t>
  </si>
  <si>
    <t>Insurance - Workers Compensation - Excess</t>
  </si>
  <si>
    <t>A_6700521</t>
  </si>
  <si>
    <t>Insurance - Solar</t>
  </si>
  <si>
    <t>A_6700599</t>
  </si>
  <si>
    <t>Insurance - Other</t>
  </si>
  <si>
    <t>A_6709000</t>
  </si>
  <si>
    <t>Insurance Expense sent to Balance Sheet</t>
  </si>
  <si>
    <t>A_S6700400</t>
  </si>
  <si>
    <t>Settled Insurance - FPSC Storm Reserve Expense</t>
  </si>
  <si>
    <t>A_S6700502</t>
  </si>
  <si>
    <t>Settled Insurance - Brokerage Fees</t>
  </si>
  <si>
    <t>A_S6700503</t>
  </si>
  <si>
    <t>Settled Insurance - Crime &amp; Fidelity</t>
  </si>
  <si>
    <t>A_S6700504</t>
  </si>
  <si>
    <t>Settled Insurance - Directors &amp; Officers</t>
  </si>
  <si>
    <t>A_S6700505</t>
  </si>
  <si>
    <t>Settled Insurance - Errors and Omissions</t>
  </si>
  <si>
    <t>A_S6700506</t>
  </si>
  <si>
    <t>Settled Insurance - Excess Automobile</t>
  </si>
  <si>
    <t>A_S6700507</t>
  </si>
  <si>
    <t>Settled Insurance - Excess General Liability</t>
  </si>
  <si>
    <t>A_S6700508</t>
  </si>
  <si>
    <t>Settled Insurance - Fiduciary</t>
  </si>
  <si>
    <t>A_S6700509</t>
  </si>
  <si>
    <t>Settled Insurance - I&amp;D Reserves</t>
  </si>
  <si>
    <t>A_S6700510</t>
  </si>
  <si>
    <t>Settled Insurance - Longshoremen's Compensation</t>
  </si>
  <si>
    <t>A_S6700514</t>
  </si>
  <si>
    <t>Settled Insurance - Property</t>
  </si>
  <si>
    <t>A_S6700515</t>
  </si>
  <si>
    <t>Settled Insurance - Punitive Damages</t>
  </si>
  <si>
    <t>A_S6700516</t>
  </si>
  <si>
    <t>Settled Insurance - Special Risk</t>
  </si>
  <si>
    <t>A_S6700517</t>
  </si>
  <si>
    <t>Settled Insurance - Surety Bonds</t>
  </si>
  <si>
    <t>A_S6700518</t>
  </si>
  <si>
    <t>Settled Insurance - Travel Accident</t>
  </si>
  <si>
    <t>A_S6700519</t>
  </si>
  <si>
    <t>Settled Insurance - Workers Compensation - Exces</t>
  </si>
  <si>
    <t>A_S6700521</t>
  </si>
  <si>
    <t>Settled Insurance - Solar</t>
  </si>
  <si>
    <t>A_S6700599</t>
  </si>
  <si>
    <t>Settled Insurance - Other</t>
  </si>
  <si>
    <t>RENT</t>
  </si>
  <si>
    <t>Rent</t>
  </si>
  <si>
    <t>A_6710020</t>
  </si>
  <si>
    <t>Short-term Rent - Non-Office Equipment</t>
  </si>
  <si>
    <t>A_6710040</t>
  </si>
  <si>
    <t>Short-term Rent - Office Space</t>
  </si>
  <si>
    <t>A_6710050</t>
  </si>
  <si>
    <t>Short-term Rent - Right of way</t>
  </si>
  <si>
    <t>A_6710060</t>
  </si>
  <si>
    <t>Short-term Rent - Vehicle</t>
  </si>
  <si>
    <t>A_6710700</t>
  </si>
  <si>
    <t>Short-term Rent - Intercompany</t>
  </si>
  <si>
    <t>A_6710800</t>
  </si>
  <si>
    <t>Short-term Rent - Other</t>
  </si>
  <si>
    <t>A_6719000</t>
  </si>
  <si>
    <t>Short-term Rent Expense sent to Balance Sheet</t>
  </si>
  <si>
    <t>A_S6710020</t>
  </si>
  <si>
    <t>Settled Short-term Rent - Non-Office Equipment</t>
  </si>
  <si>
    <t>A_S6710040</t>
  </si>
  <si>
    <t>Settled Short-term Rent - Office Space</t>
  </si>
  <si>
    <t>A_S6710700</t>
  </si>
  <si>
    <t>Settled Short-term Rent - Intercompany</t>
  </si>
  <si>
    <t>A_S6710800</t>
  </si>
  <si>
    <t>Settled Short-term Rent - Other</t>
  </si>
  <si>
    <t>LEASE</t>
  </si>
  <si>
    <t>Lease</t>
  </si>
  <si>
    <t>A_6720010</t>
  </si>
  <si>
    <t>Long-term Lease - Building</t>
  </si>
  <si>
    <t>A_6720050</t>
  </si>
  <si>
    <t>Long-term Lease - Vehicle</t>
  </si>
  <si>
    <t>A_6720800</t>
  </si>
  <si>
    <t>Long-term Lease - Other</t>
  </si>
  <si>
    <t>A_6729000</t>
  </si>
  <si>
    <t>Long-term Lease Expense sent to Balance Sheet</t>
  </si>
  <si>
    <t>A_6720060</t>
  </si>
  <si>
    <t>Long-term Lease - Variable Lease Expense</t>
  </si>
  <si>
    <t>A_S6720010</t>
  </si>
  <si>
    <t>Settled Long-term Lease - Building</t>
  </si>
  <si>
    <t>A_S6720060</t>
  </si>
  <si>
    <t>Settled Long-term Lease - Variable Lease</t>
  </si>
  <si>
    <t>A_S6720800</t>
  </si>
  <si>
    <t>Settled Long-term Lease - Other</t>
  </si>
  <si>
    <t>OUTSIDE_SERVICES</t>
  </si>
  <si>
    <t>Outside Services</t>
  </si>
  <si>
    <t>A_6100010</t>
  </si>
  <si>
    <t>Advertising</t>
  </si>
  <si>
    <t>A_6100030</t>
  </si>
  <si>
    <t>Consultants - Audit</t>
  </si>
  <si>
    <t>A_6100040</t>
  </si>
  <si>
    <t>Consultants - Engineering</t>
  </si>
  <si>
    <t>A_6100050</t>
  </si>
  <si>
    <t>Consultants - Environmental</t>
  </si>
  <si>
    <t>A_6100060</t>
  </si>
  <si>
    <t>Consultants - Legal</t>
  </si>
  <si>
    <t>A_6100070</t>
  </si>
  <si>
    <t>Consultants - Management</t>
  </si>
  <si>
    <t>A_6100080</t>
  </si>
  <si>
    <t>Consultants - Other</t>
  </si>
  <si>
    <t>A_6100090</t>
  </si>
  <si>
    <t>Consultants - Taxes</t>
  </si>
  <si>
    <t>A_6100100</t>
  </si>
  <si>
    <t>Subcontracted Services</t>
  </si>
  <si>
    <t>A_6100110</t>
  </si>
  <si>
    <t>Instrument Service/Repair</t>
  </si>
  <si>
    <t>A_6100120</t>
  </si>
  <si>
    <t>Tools Service/Repair</t>
  </si>
  <si>
    <t>A_6100140</t>
  </si>
  <si>
    <t>Line Clearance</t>
  </si>
  <si>
    <t>A_6100150</t>
  </si>
  <si>
    <t>Printing</t>
  </si>
  <si>
    <t>A_6100160</t>
  </si>
  <si>
    <t>Security Services</t>
  </si>
  <si>
    <t>A_6100170</t>
  </si>
  <si>
    <t>Service/Maintenance-Computers &amp; Communication</t>
  </si>
  <si>
    <t>A_6100180</t>
  </si>
  <si>
    <t>Site Testing Services</t>
  </si>
  <si>
    <t>A_6100190</t>
  </si>
  <si>
    <t>Software Maintenance</t>
  </si>
  <si>
    <t>A_6100200</t>
  </si>
  <si>
    <t>Trust Fee</t>
  </si>
  <si>
    <t>A_6108999</t>
  </si>
  <si>
    <t>Outside Services Expense Reclass</t>
  </si>
  <si>
    <t>A_6109000</t>
  </si>
  <si>
    <t>Outside Services Expense sent to Balance Sheet</t>
  </si>
  <si>
    <t>A_P6100000</t>
  </si>
  <si>
    <t>Planned Outside Services Expense</t>
  </si>
  <si>
    <t>A_S6100000</t>
  </si>
  <si>
    <t>Settled Outside Services Expense</t>
  </si>
  <si>
    <t>A_S6100060</t>
  </si>
  <si>
    <t>Settled Consultants - Legal</t>
  </si>
  <si>
    <t>A_S6100140</t>
  </si>
  <si>
    <t>Settled Line Clearance</t>
  </si>
  <si>
    <t>A_S6100190</t>
  </si>
  <si>
    <t>Settled Software Maintenance</t>
  </si>
  <si>
    <t>A_S6100010</t>
  </si>
  <si>
    <t>Settled Advertising</t>
  </si>
  <si>
    <t>A_S6100030</t>
  </si>
  <si>
    <t>Settled Consultants - Audit</t>
  </si>
  <si>
    <t>A_S6100040</t>
  </si>
  <si>
    <t>Settled Consultants - Engineering</t>
  </si>
  <si>
    <t>A_S6100050</t>
  </si>
  <si>
    <t>Settled Consultants - Environmental</t>
  </si>
  <si>
    <t>A_S6100070</t>
  </si>
  <si>
    <t>Settled Consultants - Management</t>
  </si>
  <si>
    <t>A_S6100080</t>
  </si>
  <si>
    <t>Settled Consultants - Other</t>
  </si>
  <si>
    <t>A_S6100090</t>
  </si>
  <si>
    <t>Settled Consultants - Taxes</t>
  </si>
  <si>
    <t>A_S6100100</t>
  </si>
  <si>
    <t>Settled Contractor Services</t>
  </si>
  <si>
    <t>A_S6100150</t>
  </si>
  <si>
    <t>Settled Printing</t>
  </si>
  <si>
    <t>A_S6100160</t>
  </si>
  <si>
    <t>Settled Security Services</t>
  </si>
  <si>
    <t>A_S6100170</t>
  </si>
  <si>
    <t>Settled Hardware Maintenance / Services</t>
  </si>
  <si>
    <t>A_S6100180</t>
  </si>
  <si>
    <t>Settled Site Testing Services</t>
  </si>
  <si>
    <t>A_S6108999</t>
  </si>
  <si>
    <t>Settled Outside Services Expense Reclass</t>
  </si>
  <si>
    <t>TRANSPORTATION</t>
  </si>
  <si>
    <t>Transportation</t>
  </si>
  <si>
    <t>A_6500010</t>
  </si>
  <si>
    <t>Transportation - Vehicle expense</t>
  </si>
  <si>
    <t>A_6500015</t>
  </si>
  <si>
    <t>Transportation - Vehicle Gas</t>
  </si>
  <si>
    <t>A_6500810</t>
  </si>
  <si>
    <t>Transportation - Vehicle Depreciation Other</t>
  </si>
  <si>
    <t>A_6509000</t>
  </si>
  <si>
    <t>Transportation Expense sent to Balance Sheet</t>
  </si>
  <si>
    <t>A_S6500000</t>
  </si>
  <si>
    <t>Settled Transportation Expense</t>
  </si>
  <si>
    <t>A_S6500010</t>
  </si>
  <si>
    <t>Settled Transportation - Vehicle expense</t>
  </si>
  <si>
    <t>A_S6500015</t>
  </si>
  <si>
    <t>Settled Transportation - Vehicle Gas</t>
  </si>
  <si>
    <t>A_S6508999</t>
  </si>
  <si>
    <t>Settled Transportation Expense Reclass</t>
  </si>
  <si>
    <t>UTILITIES</t>
  </si>
  <si>
    <t>Utilities</t>
  </si>
  <si>
    <t>A_6730010</t>
  </si>
  <si>
    <t>Utilities - Electricity</t>
  </si>
  <si>
    <t>A_6730020</t>
  </si>
  <si>
    <t>Utilities - Gas</t>
  </si>
  <si>
    <t>A_6730030</t>
  </si>
  <si>
    <t>Utilities - Telecom</t>
  </si>
  <si>
    <t>A_6730050</t>
  </si>
  <si>
    <t>Utilities - Waste &amp; Trash Management</t>
  </si>
  <si>
    <t>A_6730060</t>
  </si>
  <si>
    <t>Utilities - Water</t>
  </si>
  <si>
    <t>A_6730800</t>
  </si>
  <si>
    <t>Utilities - Other</t>
  </si>
  <si>
    <t>A_6739000</t>
  </si>
  <si>
    <t>Utilities Expense sent to Balance Sheet</t>
  </si>
  <si>
    <t>A_S6730000</t>
  </si>
  <si>
    <t>Settled Utilities Expense</t>
  </si>
  <si>
    <t>A_S6730030</t>
  </si>
  <si>
    <t>Settled Utilities - Telecom</t>
  </si>
  <si>
    <t>A_S6730050</t>
  </si>
  <si>
    <t>Settled Utilities - Waste &amp; Trash Management</t>
  </si>
  <si>
    <t>A_S6730060</t>
  </si>
  <si>
    <t>Settled Utilities - Water</t>
  </si>
  <si>
    <t>MISC_BILLING_EXP</t>
  </si>
  <si>
    <t>Miscellaneous Billing Expense</t>
  </si>
  <si>
    <t>A_6780020</t>
  </si>
  <si>
    <t>Miscellaneous Billing Exp Material Sales</t>
  </si>
  <si>
    <t>A_6780030</t>
  </si>
  <si>
    <t>Miscellaneous Billing Exp Chargeable Projects</t>
  </si>
  <si>
    <t>A_6780040</t>
  </si>
  <si>
    <t>Miscellaneous Billing Exp Damaged Facilities</t>
  </si>
  <si>
    <t>A_6780800</t>
  </si>
  <si>
    <t>Miscellaneous Billing Exp General</t>
  </si>
  <si>
    <t>A_6789000</t>
  </si>
  <si>
    <t>Miscellaneous Billing Exp to Balance Sheet</t>
  </si>
  <si>
    <t>A_S6780000</t>
  </si>
  <si>
    <t>Settled Miscellaneous Billing Expense</t>
  </si>
  <si>
    <t>A_S6780030</t>
  </si>
  <si>
    <t>Settled Miscellaneous Billing Exp Chargeable Pro</t>
  </si>
  <si>
    <t>A_S6780040</t>
  </si>
  <si>
    <t>Settled Miscellaneous Billing Exp Damaged Facili</t>
  </si>
  <si>
    <t>A_S6780800</t>
  </si>
  <si>
    <t>Settled Miscellaneous Billing Exp General</t>
  </si>
  <si>
    <t>OTHER_OPERATIONAL</t>
  </si>
  <si>
    <t>Other Operational</t>
  </si>
  <si>
    <t>A_6790010</t>
  </si>
  <si>
    <t>Bad Debt Expense</t>
  </si>
  <si>
    <t>A_6790020</t>
  </si>
  <si>
    <t>Bad Debt Expense ARM</t>
  </si>
  <si>
    <t>A_6790030</t>
  </si>
  <si>
    <t>Director's Expenses</t>
  </si>
  <si>
    <t>A_6790040</t>
  </si>
  <si>
    <t>Director's Restricted Stock Expense</t>
  </si>
  <si>
    <t>A_6790050</t>
  </si>
  <si>
    <t>Deferred Compensation</t>
  </si>
  <si>
    <t>A_6790055</t>
  </si>
  <si>
    <t>Economic Development</t>
  </si>
  <si>
    <t>A_6790060</t>
  </si>
  <si>
    <t>Industry Dues</t>
  </si>
  <si>
    <t>A_6790090</t>
  </si>
  <si>
    <t>Donations - Charitable (501c)</t>
  </si>
  <si>
    <t>A_6790091</t>
  </si>
  <si>
    <t>Donations - Non deductible</t>
  </si>
  <si>
    <t>A_6790092</t>
  </si>
  <si>
    <t>Donations - Other</t>
  </si>
  <si>
    <t>A_6790101</t>
  </si>
  <si>
    <t>Fees - Bank</t>
  </si>
  <si>
    <t>A_6790102</t>
  </si>
  <si>
    <t>Fees - Report Filing</t>
  </si>
  <si>
    <t>A_6790103</t>
  </si>
  <si>
    <t>Fees - Registration</t>
  </si>
  <si>
    <t>A_6790199</t>
  </si>
  <si>
    <t>Fees - Miscellaneous</t>
  </si>
  <si>
    <t>A_6790200</t>
  </si>
  <si>
    <t>Penalties</t>
  </si>
  <si>
    <t>A_6790210</t>
  </si>
  <si>
    <t>Permitting</t>
  </si>
  <si>
    <t>A_6790220</t>
  </si>
  <si>
    <t>Political Contributions</t>
  </si>
  <si>
    <t>A_6790230</t>
  </si>
  <si>
    <t>Postage. Shipping and Courier</t>
  </si>
  <si>
    <t>A_6790250</t>
  </si>
  <si>
    <t>Energy Conservation Allowances</t>
  </si>
  <si>
    <t>A_6790255</t>
  </si>
  <si>
    <t>Selling and Marketing Expense</t>
  </si>
  <si>
    <t>A_6790260</t>
  </si>
  <si>
    <t>Settlements/Claims Expense</t>
  </si>
  <si>
    <t>A_6790300</t>
  </si>
  <si>
    <t>Cash Discount Taken</t>
  </si>
  <si>
    <t>A_6790305</t>
  </si>
  <si>
    <t>A&amp;G Allocation</t>
  </si>
  <si>
    <t>A_6790310</t>
  </si>
  <si>
    <t>A&amp;G Allocated to Capital</t>
  </si>
  <si>
    <t>A_6790320</t>
  </si>
  <si>
    <t>Fleet Allocation</t>
  </si>
  <si>
    <t>A_6790321</t>
  </si>
  <si>
    <t>Stores Allocation</t>
  </si>
  <si>
    <t>A_6790324</t>
  </si>
  <si>
    <t>E&amp;S Allocation</t>
  </si>
  <si>
    <t>A_6790700</t>
  </si>
  <si>
    <t>Intercompany Overhead Allocations</t>
  </si>
  <si>
    <t>A_6790703</t>
  </si>
  <si>
    <t>Intercompany Standard Labor</t>
  </si>
  <si>
    <t>A_6790704</t>
  </si>
  <si>
    <t>Intercompany Support Services</t>
  </si>
  <si>
    <t>A_6790705</t>
  </si>
  <si>
    <t>Intercompany Print Shop Charges</t>
  </si>
  <si>
    <t>A_6790800</t>
  </si>
  <si>
    <t>Other Operational Expense - Miscellaneous</t>
  </si>
  <si>
    <t>A_6791000</t>
  </si>
  <si>
    <t>Rate Case Expense</t>
  </si>
  <si>
    <t>A_6798999</t>
  </si>
  <si>
    <t>Other Operational Expense Reclass</t>
  </si>
  <si>
    <t>A_6799000</t>
  </si>
  <si>
    <t>Other Operational Expense sent to Balance Sheet</t>
  </si>
  <si>
    <t>A_6799104</t>
  </si>
  <si>
    <t>Make Ready Changes to the Balance Sheet</t>
  </si>
  <si>
    <t>A_6799105</t>
  </si>
  <si>
    <t>Fleet Charges to the Balance Sheet</t>
  </si>
  <si>
    <t>A_6799106</t>
  </si>
  <si>
    <t>Small Tools Charges to the Balance Sheet</t>
  </si>
  <si>
    <t>A_6799107</t>
  </si>
  <si>
    <t>Stores Clearing Charges to the Balance Sheet</t>
  </si>
  <si>
    <t>A_6799108</t>
  </si>
  <si>
    <t>Self Help Charges to the Balance Sheet</t>
  </si>
  <si>
    <t>A_6799109</t>
  </si>
  <si>
    <t>Supervisory &amp; Management Cghs to the Balance Sheet</t>
  </si>
  <si>
    <t>A_8900140</t>
  </si>
  <si>
    <t>FICO Reconciliation - O&amp;M Expense</t>
  </si>
  <si>
    <t>A_8900141</t>
  </si>
  <si>
    <t>TSI FICO Reconciliation - O&amp;M Expense</t>
  </si>
  <si>
    <t>A_8903001</t>
  </si>
  <si>
    <t>FICO Reconciliation - Parent A&amp;G Allocation</t>
  </si>
  <si>
    <t>A_8903002</t>
  </si>
  <si>
    <t>FICO Reconciliation - IT Allocation</t>
  </si>
  <si>
    <t>A_8903003</t>
  </si>
  <si>
    <t>FICO Reconciliation - Telecom Allocation</t>
  </si>
  <si>
    <t>A_8903004</t>
  </si>
  <si>
    <t>FICO Reconciliation - Facilities Allocation</t>
  </si>
  <si>
    <t>A_8903005</t>
  </si>
  <si>
    <t>FICO Reconciliation - HR Allocation</t>
  </si>
  <si>
    <t>A_8903006</t>
  </si>
  <si>
    <t>FICO Reconciliation - Services Allocation</t>
  </si>
  <si>
    <t>A_8903007</t>
  </si>
  <si>
    <t>FICO Reconciliation - Procurement Allocation</t>
  </si>
  <si>
    <t>A_A1000100</t>
  </si>
  <si>
    <t>Assessed Shared Services IT Charges</t>
  </si>
  <si>
    <t>A_A1000103</t>
  </si>
  <si>
    <t>Assessed Shared Services HR Benefits Admin</t>
  </si>
  <si>
    <t>A_A1000105</t>
  </si>
  <si>
    <t>Assessed Shared Services Procurement Charges</t>
  </si>
  <si>
    <t>A_A1000300</t>
  </si>
  <si>
    <t>Assessed Stores Clearing Charges</t>
  </si>
  <si>
    <t>A_C1010003</t>
  </si>
  <si>
    <t>TSI A&amp;G Adder</t>
  </si>
  <si>
    <t>A_P1000000</t>
  </si>
  <si>
    <t>Planned Corporate Overhead Allocation</t>
  </si>
  <si>
    <t>A_P1000100</t>
  </si>
  <si>
    <t>Planned IT Charges</t>
  </si>
  <si>
    <t>A_P1000101</t>
  </si>
  <si>
    <t>Planned Facility Charges</t>
  </si>
  <si>
    <t>A_P1000102</t>
  </si>
  <si>
    <t>Planned Telecom Charges</t>
  </si>
  <si>
    <t>A_P1000103</t>
  </si>
  <si>
    <t>Planned HR Benefits Admin</t>
  </si>
  <si>
    <t>A_P1000104</t>
  </si>
  <si>
    <t>Planned Admin Services</t>
  </si>
  <si>
    <t>A_P1000105</t>
  </si>
  <si>
    <t>Planned Procurement Charges</t>
  </si>
  <si>
    <t>A_P1000300</t>
  </si>
  <si>
    <t>Planned Stores Clearing Charges</t>
  </si>
  <si>
    <t>A_S1000101</t>
  </si>
  <si>
    <t>Settled Facility Charges</t>
  </si>
  <si>
    <t>A_S1000102</t>
  </si>
  <si>
    <t>Settled Telecom Charges</t>
  </si>
  <si>
    <t>A_S1000103</t>
  </si>
  <si>
    <t>Settled HR Benefits Admin</t>
  </si>
  <si>
    <t>A_S1000104</t>
  </si>
  <si>
    <t>Settled Admin Services</t>
  </si>
  <si>
    <t>A_S1000105</t>
  </si>
  <si>
    <t>Settled Procurement Charges</t>
  </si>
  <si>
    <t>A_S1000200</t>
  </si>
  <si>
    <t>Settled Fleet Charges</t>
  </si>
  <si>
    <t>A_S1000201</t>
  </si>
  <si>
    <t>Settled Small Tools Clearing Charges</t>
  </si>
  <si>
    <t>A_S1000300</t>
  </si>
  <si>
    <t>Settled Stores Clearing Charges</t>
  </si>
  <si>
    <t>A_S1000301</t>
  </si>
  <si>
    <t>Settled Self Help Charges</t>
  </si>
  <si>
    <t>A_S6790000</t>
  </si>
  <si>
    <t>Settled Other Operational Expense</t>
  </si>
  <si>
    <t>A_S6790700</t>
  </si>
  <si>
    <t>Settled Intercompany Overhead Allocations</t>
  </si>
  <si>
    <t>A_A1000108</t>
  </si>
  <si>
    <t>Assd Shared Svcs HR Employee Relations Charges</t>
  </si>
  <si>
    <t>A_A1000109</t>
  </si>
  <si>
    <t>Assessed Shared Services Emergency Mgmt Charges</t>
  </si>
  <si>
    <t>A_P1000108</t>
  </si>
  <si>
    <t>Planned SS HREmpRel Chgs</t>
  </si>
  <si>
    <t>A_P1000109</t>
  </si>
  <si>
    <t>Planned SS EmerMgmt Chgs</t>
  </si>
  <si>
    <t>A_P1000111</t>
  </si>
  <si>
    <t>Planned SS AcctsPay Chgs</t>
  </si>
  <si>
    <t>A_P1000112</t>
  </si>
  <si>
    <t>Planned SS Claims Chgs</t>
  </si>
  <si>
    <t>A_S1000109</t>
  </si>
  <si>
    <t>Settled SS EmerMgmt Chgs</t>
  </si>
  <si>
    <t>A_8903008</t>
  </si>
  <si>
    <t>FICO Reconciliation - HR Empl Relations Allocation</t>
  </si>
  <si>
    <t>A_8903009</t>
  </si>
  <si>
    <t>FICO Reconciliation - Emergency Mgmt Allocation</t>
  </si>
  <si>
    <t>A_8903011</t>
  </si>
  <si>
    <t>FICO Reconciliation - Accounts Payable Allocation</t>
  </si>
  <si>
    <t>A_8903012</t>
  </si>
  <si>
    <t>FICO Reconciliation - Claims Allocation</t>
  </si>
  <si>
    <t>A_S6790010</t>
  </si>
  <si>
    <t>Settled Bad Debt Expense AR CIS</t>
  </si>
  <si>
    <t>A_S6790020</t>
  </si>
  <si>
    <t>Settled Bad Debt Expense AR Misc</t>
  </si>
  <si>
    <t>A_S6790030</t>
  </si>
  <si>
    <t>Settled Director's Expenses</t>
  </si>
  <si>
    <t>A_S6790040</t>
  </si>
  <si>
    <t>Settled Director's Restricted Stock Expense</t>
  </si>
  <si>
    <t>A_S6790050</t>
  </si>
  <si>
    <t>Settled Deferred Compensation</t>
  </si>
  <si>
    <t>A_S6790055</t>
  </si>
  <si>
    <t>Settled Economic Development</t>
  </si>
  <si>
    <t>A_S6790060</t>
  </si>
  <si>
    <t>Settled Industry Dues</t>
  </si>
  <si>
    <t>A_S6790090</t>
  </si>
  <si>
    <t>Settled Donations - Charitable (501c)</t>
  </si>
  <si>
    <t>A_S6790091</t>
  </si>
  <si>
    <t>Settled Donations - Non deductible</t>
  </si>
  <si>
    <t>A_S6790092</t>
  </si>
  <si>
    <t>Settled Donations - Other</t>
  </si>
  <si>
    <t>A_S6790101</t>
  </si>
  <si>
    <t>Settled Fees - Bank</t>
  </si>
  <si>
    <t>A_S6790102</t>
  </si>
  <si>
    <t>Settled Fees - Report Filing</t>
  </si>
  <si>
    <t>A_S6790103</t>
  </si>
  <si>
    <t>Settled Fees - Registration</t>
  </si>
  <si>
    <t>A_S6790199</t>
  </si>
  <si>
    <t>Settled Fees - Miscellaneous</t>
  </si>
  <si>
    <t>A_S6790200</t>
  </si>
  <si>
    <t>Settled Penalties</t>
  </si>
  <si>
    <t>A_S6790210</t>
  </si>
  <si>
    <t>Settled Permitting</t>
  </si>
  <si>
    <t>A_S6790220</t>
  </si>
  <si>
    <t>Settled Political Contributions</t>
  </si>
  <si>
    <t>A_S6790230</t>
  </si>
  <si>
    <t>Settled Postage Shipping and Courier</t>
  </si>
  <si>
    <t>A_S6790250</t>
  </si>
  <si>
    <t>Settled Energy Conservation Allowances</t>
  </si>
  <si>
    <t>A_S6790255</t>
  </si>
  <si>
    <t>Settled Selling and Marketing Expense</t>
  </si>
  <si>
    <t>A_S6790305</t>
  </si>
  <si>
    <t>Settled A&amp;G Allocation</t>
  </si>
  <si>
    <t>A_S6790310</t>
  </si>
  <si>
    <t>Settled A&amp;G Allocated to Capital</t>
  </si>
  <si>
    <t>A_S6790320</t>
  </si>
  <si>
    <t>Settled Fleet Allocation</t>
  </si>
  <si>
    <t>A_S6790321</t>
  </si>
  <si>
    <t>Settled Stores Allocation</t>
  </si>
  <si>
    <t>A_S6790322</t>
  </si>
  <si>
    <t>Settled Small Tools Allocation</t>
  </si>
  <si>
    <t>A_S6790323</t>
  </si>
  <si>
    <t>Settled Self Help Allocation</t>
  </si>
  <si>
    <t>A_S6790704</t>
  </si>
  <si>
    <t>Settled Intercompany Support Services</t>
  </si>
  <si>
    <t>A_S6790800</t>
  </si>
  <si>
    <t>Settled Other Operational Expense - Misc</t>
  </si>
  <si>
    <t>A_S6791000</t>
  </si>
  <si>
    <t>Settled Rate Case Expense</t>
  </si>
  <si>
    <t>A_S6798999</t>
  </si>
  <si>
    <t>Settled Other Operational Expense Reclas</t>
  </si>
  <si>
    <t>DEP_AMORTIZATION</t>
  </si>
  <si>
    <t>Depreciation and Amortization</t>
  </si>
  <si>
    <t>DEP_EXP</t>
  </si>
  <si>
    <t>Depreciation Expense</t>
  </si>
  <si>
    <t>A_6810010</t>
  </si>
  <si>
    <t>Depreciation - Utility Plant</t>
  </si>
  <si>
    <t>A_6810025</t>
  </si>
  <si>
    <t>Depreciation - Non-Utility Property BTL</t>
  </si>
  <si>
    <t>A_6810050</t>
  </si>
  <si>
    <t>Depreciation - Environmental</t>
  </si>
  <si>
    <t>A_6810060</t>
  </si>
  <si>
    <t>Depreciation - Dismantling Accrual</t>
  </si>
  <si>
    <t>A_6810090</t>
  </si>
  <si>
    <t>Depreciation – SPPCRC</t>
  </si>
  <si>
    <t>A_S6810010</t>
  </si>
  <si>
    <t>Settled Depreciation - Utility Plant</t>
  </si>
  <si>
    <t>A_S6810025</t>
  </si>
  <si>
    <t>Settled Depreciation - Non-Utility Property BTL</t>
  </si>
  <si>
    <t>A_S6810050</t>
  </si>
  <si>
    <t>Settled Depreciation - Environmental</t>
  </si>
  <si>
    <t>A_S6810090</t>
  </si>
  <si>
    <t>Settled Depreciation - Storm Protection Clause</t>
  </si>
  <si>
    <t>A_6810140</t>
  </si>
  <si>
    <t>Depreciation - Conservation</t>
  </si>
  <si>
    <t>A_S6810140</t>
  </si>
  <si>
    <t>Settled Depreciation - Conservation</t>
  </si>
  <si>
    <t>AMORT_EXP</t>
  </si>
  <si>
    <t>Amortization Expense</t>
  </si>
  <si>
    <t>A_6800010</t>
  </si>
  <si>
    <t>Amortization - Utility Plant</t>
  </si>
  <si>
    <t>A_6800040</t>
  </si>
  <si>
    <t>Amortization - Acquisition Adjustments</t>
  </si>
  <si>
    <t>A_6800045</t>
  </si>
  <si>
    <t>Amortization - Acquisition Adjustments BTL</t>
  </si>
  <si>
    <t>A_6800120</t>
  </si>
  <si>
    <t>Amortization - Financing Lease</t>
  </si>
  <si>
    <t>A_S6800120</t>
  </si>
  <si>
    <t>Settled Amortization - Financing Lease</t>
  </si>
  <si>
    <t>TAXES</t>
  </si>
  <si>
    <t>Taxes. other than income</t>
  </si>
  <si>
    <t>A_6900010</t>
  </si>
  <si>
    <t>TOTI - Franchise Fees</t>
  </si>
  <si>
    <t>A_6900030</t>
  </si>
  <si>
    <t>TOTI - Gross Receipts</t>
  </si>
  <si>
    <t>A_6900040</t>
  </si>
  <si>
    <t>TOTI - Payroll Tax</t>
  </si>
  <si>
    <t>A_6900048</t>
  </si>
  <si>
    <t>TOTI - Payroll Tax - Incentives</t>
  </si>
  <si>
    <t>A_6900049</t>
  </si>
  <si>
    <t>TOTI - Payroll Tax Reclass</t>
  </si>
  <si>
    <t>A_6900060</t>
  </si>
  <si>
    <t>TOTI - Property Tax - Above the line</t>
  </si>
  <si>
    <t>A_6900061</t>
  </si>
  <si>
    <t>TOTI - Property Tax - Above the line - GAAP Adj</t>
  </si>
  <si>
    <t>A_6900065</t>
  </si>
  <si>
    <t>TOTI - Property Tax - Below the line</t>
  </si>
  <si>
    <t>A_6900070</t>
  </si>
  <si>
    <t>TOTI - Regulatory Assessment Fee</t>
  </si>
  <si>
    <t>A_6900080</t>
  </si>
  <si>
    <t>TOTI - Sales and Use</t>
  </si>
  <si>
    <t>A_6900100</t>
  </si>
  <si>
    <t>TOTI - State Intangible Gov't Leasehold Tax</t>
  </si>
  <si>
    <t>A_6900110</t>
  </si>
  <si>
    <t>TOTI - Federal Excise Tax</t>
  </si>
  <si>
    <t>A_6900120</t>
  </si>
  <si>
    <t>TOTI - County/City Business License Tax</t>
  </si>
  <si>
    <t>A_6900800</t>
  </si>
  <si>
    <t>Taxes other than income - Other</t>
  </si>
  <si>
    <t>A_6909000</t>
  </si>
  <si>
    <t>Taxes other than income Exp sent to Balance Sheet</t>
  </si>
  <si>
    <t>A_8900170</t>
  </si>
  <si>
    <t>FICO Reconciliation - Taxes other than Income</t>
  </si>
  <si>
    <t>A_S6900010</t>
  </si>
  <si>
    <t>Settled TOTI - Franchise Fees</t>
  </si>
  <si>
    <t>A_S6900030</t>
  </si>
  <si>
    <t>Settled TOTI - Gross Receipts</t>
  </si>
  <si>
    <t>A_S6900040</t>
  </si>
  <si>
    <t>Settled TOTI - Payroll Tax</t>
  </si>
  <si>
    <t>A_S6900048</t>
  </si>
  <si>
    <t>Settled TOTI - Payroll Tax - Incentives</t>
  </si>
  <si>
    <t>A_S6900049</t>
  </si>
  <si>
    <t>Settled TOTI - Payroll Tax Reclass</t>
  </si>
  <si>
    <t>A_S6900060</t>
  </si>
  <si>
    <t>Settled TOTI - Property Tax - Above the line</t>
  </si>
  <si>
    <t>A_S6900065</t>
  </si>
  <si>
    <t>Settled TOTI - Property Tax - Below the line</t>
  </si>
  <si>
    <t>A_S6900070</t>
  </si>
  <si>
    <t>Settled TOTI - Regulatory Assessment Fee</t>
  </si>
  <si>
    <t>A_S6900080</t>
  </si>
  <si>
    <t>Settled TOTI - Sales and Use</t>
  </si>
  <si>
    <t>A_S6900110</t>
  </si>
  <si>
    <t>Settled TOTI - Federal Excise Tax</t>
  </si>
  <si>
    <t>A_S6900120</t>
  </si>
  <si>
    <t>Settled TOTI - County/City Business License Tax</t>
  </si>
  <si>
    <t>OTH_INC</t>
  </si>
  <si>
    <t>OTHER INCOME (EXPENSE)</t>
  </si>
  <si>
    <t>ALLOWANCE_CNSTRUCT</t>
  </si>
  <si>
    <t>Allowance for other funds used during construction</t>
  </si>
  <si>
    <t>A_7100010</t>
  </si>
  <si>
    <t>Allowance for other funds AFUDC Equity</t>
  </si>
  <si>
    <t>OTHER_INCOME</t>
  </si>
  <si>
    <t>Other income</t>
  </si>
  <si>
    <t>Oth_INC_P</t>
  </si>
  <si>
    <t>Other Income</t>
  </si>
  <si>
    <t>A_7000220</t>
  </si>
  <si>
    <t>Interest Inc - Defd Fuel Clause</t>
  </si>
  <si>
    <t>A_7000230</t>
  </si>
  <si>
    <t>Interest Inc - Defd Capacity Clause</t>
  </si>
  <si>
    <t>A_7000800</t>
  </si>
  <si>
    <t>Interest Inc - Miscellaneous</t>
  </si>
  <si>
    <t>A_7100015</t>
  </si>
  <si>
    <t>Capitalized AFUDC Equity</t>
  </si>
  <si>
    <t>A_7100800</t>
  </si>
  <si>
    <t>Oth Inc/Exp - Miscellaneous</t>
  </si>
  <si>
    <t>A_7102000</t>
  </si>
  <si>
    <t>Currency Adjustment - Realized Gain</t>
  </si>
  <si>
    <t>A_7102100</t>
  </si>
  <si>
    <t>Currency Adjustment - Unrealized Gain</t>
  </si>
  <si>
    <t>A_7103030</t>
  </si>
  <si>
    <t>Commercial Surge Supression Equipment Revenue</t>
  </si>
  <si>
    <t>A_7103040</t>
  </si>
  <si>
    <t>Residential Surge Supression Equipment Revenue</t>
  </si>
  <si>
    <t>A_7103060</t>
  </si>
  <si>
    <t>CIAC (Capital Work Order Credit)</t>
  </si>
  <si>
    <t>A_7109000</t>
  </si>
  <si>
    <t>Other Income sent to Balance Sheet</t>
  </si>
  <si>
    <t>A_7202000</t>
  </si>
  <si>
    <t>Currency Adjustment - Realized Loss</t>
  </si>
  <si>
    <t>A_7202100</t>
  </si>
  <si>
    <t>Currency Adjustment - Unrealized Loss</t>
  </si>
  <si>
    <t>A_7203030</t>
  </si>
  <si>
    <t>Zap Cap for Business Expense</t>
  </si>
  <si>
    <t>A_7203040</t>
  </si>
  <si>
    <t>Residential Zap Cap Expense</t>
  </si>
  <si>
    <t>A_8900180</t>
  </si>
  <si>
    <t>FICO Reconciliation - Other Income/Expense</t>
  </si>
  <si>
    <t>A_S7000220</t>
  </si>
  <si>
    <t>Settled Interest Inc - Defd Fuel Clause</t>
  </si>
  <si>
    <t>A_S7000230</t>
  </si>
  <si>
    <t>Settled Interest Inc - Defd Capacity Clause</t>
  </si>
  <si>
    <t>A_S7000290</t>
  </si>
  <si>
    <t>Settled Interest Inc - Defd Storm Protection Cla</t>
  </si>
  <si>
    <t>A_S7000800</t>
  </si>
  <si>
    <t>Settled Interest Inc - Miscellaneous</t>
  </si>
  <si>
    <t>A_S7103030</t>
  </si>
  <si>
    <t>Settled Zap Cap for Business Revenue</t>
  </si>
  <si>
    <t>A_S7103040</t>
  </si>
  <si>
    <t>Settled Residential Zap Cap Revenue</t>
  </si>
  <si>
    <t>A_7000291</t>
  </si>
  <si>
    <t>Interest Inc - Defd CETM</t>
  </si>
  <si>
    <t>A_S7000291</t>
  </si>
  <si>
    <t>Settled Interest Inc - Defd CETM</t>
  </si>
  <si>
    <t>A_7103035</t>
  </si>
  <si>
    <t>Other Lighting Revenue - Unregulated</t>
  </si>
  <si>
    <t>A_S7103035</t>
  </si>
  <si>
    <t>Settled Other Lighting Revenue - Unregulated</t>
  </si>
  <si>
    <t>INTINC_INTCO</t>
  </si>
  <si>
    <t>Interest income - Intercompany</t>
  </si>
  <si>
    <t>A_7000700</t>
  </si>
  <si>
    <t>Interest Inc - Intercompany</t>
  </si>
  <si>
    <t>A_S7000700</t>
  </si>
  <si>
    <t>Settled Interest Inc - Intercompany</t>
  </si>
  <si>
    <t>Sale_Of_ASTs</t>
  </si>
  <si>
    <t>Gain / (Loss) on sale of assets</t>
  </si>
  <si>
    <t>A_7100400</t>
  </si>
  <si>
    <t>Gain/(Loss) Sale of Non-Utility Property</t>
  </si>
  <si>
    <t>A_S7100400</t>
  </si>
  <si>
    <t>Settled Gain/(Loss) Sale of Non-Utility</t>
  </si>
  <si>
    <t>A_S7101000</t>
  </si>
  <si>
    <t>Settled Gain Sale of Utility Property</t>
  </si>
  <si>
    <t>INTEREST_CHARGES</t>
  </si>
  <si>
    <t>INTEREST CHARGES</t>
  </si>
  <si>
    <t>INTEREST_EXPENSE</t>
  </si>
  <si>
    <t>Interest Expense</t>
  </si>
  <si>
    <t>IE_INTCO</t>
  </si>
  <si>
    <t>Interest expense - intercompany</t>
  </si>
  <si>
    <t>A_7500700</t>
  </si>
  <si>
    <t>Interest Exp - Intercompany</t>
  </si>
  <si>
    <t>IE_LTD</t>
  </si>
  <si>
    <t>Interest expense - long-term debt</t>
  </si>
  <si>
    <t>A_7201100</t>
  </si>
  <si>
    <t>Amortization of Loss on Reacquired Debt</t>
  </si>
  <si>
    <t>A_7500110</t>
  </si>
  <si>
    <t>Interest Exp - Long-term Debt</t>
  </si>
  <si>
    <t>A_7500120</t>
  </si>
  <si>
    <t>Amortization of discount on Debt</t>
  </si>
  <si>
    <t>A_7500130</t>
  </si>
  <si>
    <t>Interest Exp - Amortiz of Fees on Long-term Debt</t>
  </si>
  <si>
    <t>A_S7201100</t>
  </si>
  <si>
    <t>Settled Amortization of loss on reaquired debt</t>
  </si>
  <si>
    <t>A_S7500110</t>
  </si>
  <si>
    <t>Settled Interest Exp - Long-term Debt</t>
  </si>
  <si>
    <t>A_S7500120</t>
  </si>
  <si>
    <t>Settled Interest Exp - Amortiz Discount</t>
  </si>
  <si>
    <t>A_S7500130</t>
  </si>
  <si>
    <t>Settled Interest Exp - Amortiz of Fees L</t>
  </si>
  <si>
    <t>IE_OTHER</t>
  </si>
  <si>
    <t>Interest expense - other</t>
  </si>
  <si>
    <t>A_7500015</t>
  </si>
  <si>
    <t>Capitalized AFUDC Debt</t>
  </si>
  <si>
    <t>A_7500030</t>
  </si>
  <si>
    <t>Interest Exp - Customer Deposits</t>
  </si>
  <si>
    <t>A_7500080</t>
  </si>
  <si>
    <t>Interest Exp - Credit Facilities</t>
  </si>
  <si>
    <t>A_7500090</t>
  </si>
  <si>
    <t>Interest Exp - Other Short Term Borrowing</t>
  </si>
  <si>
    <t>A_7500230</t>
  </si>
  <si>
    <t>Interest Exp - Defd Capacity Clause</t>
  </si>
  <si>
    <t>A_7500240</t>
  </si>
  <si>
    <t>Interest Exp - Defd Conservation Clause</t>
  </si>
  <si>
    <t>A_7500250</t>
  </si>
  <si>
    <t>Interest Exp - Defd Environmental Clause</t>
  </si>
  <si>
    <t>A_7500800</t>
  </si>
  <si>
    <t>Interest Exp - Miscellaneous</t>
  </si>
  <si>
    <t>A_7509000</t>
  </si>
  <si>
    <t>Interest Expense sent to Balance Sheet</t>
  </si>
  <si>
    <t>A_7500290</t>
  </si>
  <si>
    <t>Interest Exp - Defd Storm Clause</t>
  </si>
  <si>
    <t>A_S7500030</t>
  </si>
  <si>
    <t>Settled Interest Exp - Customer Deposits</t>
  </si>
  <si>
    <t>A_S7500080</t>
  </si>
  <si>
    <t>Settled Interest Exp - Credit Facilities</t>
  </si>
  <si>
    <t>A_S7500090</t>
  </si>
  <si>
    <t>Settled Interest Exp - Other Short Term Borrowing</t>
  </si>
  <si>
    <t>A_S7500240</t>
  </si>
  <si>
    <t>Settled Interest Exp - Defd Conservation Clause</t>
  </si>
  <si>
    <t>A_S7500250</t>
  </si>
  <si>
    <t>Settled Interest Exp - Defd Environmental Clause</t>
  </si>
  <si>
    <t>A_S7500290</t>
  </si>
  <si>
    <t>Settled Interest Exp - Defd Storm Protection Cla</t>
  </si>
  <si>
    <t>A_7500060</t>
  </si>
  <si>
    <t>Interest Exp - Financing Lease</t>
  </si>
  <si>
    <t>A_S7500060</t>
  </si>
  <si>
    <t>Settled Interest Exp - Financing Lease</t>
  </si>
  <si>
    <t>A_7500291</t>
  </si>
  <si>
    <t>Interest Exp - Defd CETM</t>
  </si>
  <si>
    <t>A_S7500291</t>
  </si>
  <si>
    <t>Settled Interest Exp - Defd CETM</t>
  </si>
  <si>
    <t>ALLOWANCE_BRCNSTRUCT</t>
  </si>
  <si>
    <t>Allowance for borrowed funds used during contruction</t>
  </si>
  <si>
    <t>A_7500010</t>
  </si>
  <si>
    <t>Interest Exp - Allow for Borrowed Funds AFUDC Debt</t>
  </si>
  <si>
    <t>PROVISION_ITAX</t>
  </si>
  <si>
    <t>PROVISION FOR INCOME TAXES</t>
  </si>
  <si>
    <t>CUR_IT_EXP</t>
  </si>
  <si>
    <t>Current income tax expense</t>
  </si>
  <si>
    <t>A_8000300</t>
  </si>
  <si>
    <t>Federal Income Tax Expense</t>
  </si>
  <si>
    <t>A_8000310</t>
  </si>
  <si>
    <t>Federal Income Tax Expense - Above Line</t>
  </si>
  <si>
    <t>A_8000400</t>
  </si>
  <si>
    <t>State Income Tax Expense</t>
  </si>
  <si>
    <t>A_8000410</t>
  </si>
  <si>
    <t>State Income Tax Expense - Above Line</t>
  </si>
  <si>
    <t>DEF_IT_EXP</t>
  </si>
  <si>
    <t>Deferred income tax expense</t>
  </si>
  <si>
    <t>A_8010300</t>
  </si>
  <si>
    <t>Deferred Federal Income Tax Exp</t>
  </si>
  <si>
    <t>A_8010305</t>
  </si>
  <si>
    <t>Deferred Federal Income Tax Exp - Non-Utility</t>
  </si>
  <si>
    <t>A_8010310</t>
  </si>
  <si>
    <t>Deferred Federal Income Tax Exp - Cr</t>
  </si>
  <si>
    <t>A_8010315</t>
  </si>
  <si>
    <t>Deferred Federal Income Tax Exp - Cr Non-Utility</t>
  </si>
  <si>
    <t>A_8010320</t>
  </si>
  <si>
    <t>DIT Federal Accelerated Amortization Property</t>
  </si>
  <si>
    <t>A_8010330</t>
  </si>
  <si>
    <t>DIT Federal Accelerated Amortization Property - Cr</t>
  </si>
  <si>
    <t>A_8010400</t>
  </si>
  <si>
    <t>Deferred State Income Tax Exp</t>
  </si>
  <si>
    <t>A_8010405</t>
  </si>
  <si>
    <t>Deferred State Income Tax Exp - Non-Utility</t>
  </si>
  <si>
    <t>A_8010410</t>
  </si>
  <si>
    <t>Deferred State Income Tax Exp - Cr</t>
  </si>
  <si>
    <t>A_8010415</t>
  </si>
  <si>
    <t>Deferred State Income Tax Exp - Cr Non-Utility</t>
  </si>
  <si>
    <t>A_8010420</t>
  </si>
  <si>
    <t>DIT State Accelerated Amortization Property</t>
  </si>
  <si>
    <t>AMORT_IT_CR</t>
  </si>
  <si>
    <t>Amortization of investment tax credits</t>
  </si>
  <si>
    <t>A_8010600</t>
  </si>
  <si>
    <t>Investment Tax Credit Amort - Utility</t>
  </si>
  <si>
    <t>A_8010610</t>
  </si>
  <si>
    <t>Investment Tax Credit Amort - Non Utility</t>
  </si>
  <si>
    <t>WB</t>
  </si>
  <si>
    <t>2024.TOTAL</t>
  </si>
  <si>
    <t>2024.JAN</t>
  </si>
  <si>
    <t>2024.FEB</t>
  </si>
  <si>
    <t>2024.MAR</t>
  </si>
  <si>
    <t>2024.APR</t>
  </si>
  <si>
    <t>2024.MAY</t>
  </si>
  <si>
    <t>2024.JUN</t>
  </si>
  <si>
    <t>2024.JUL</t>
  </si>
  <si>
    <t>2024.AUG</t>
  </si>
  <si>
    <t>2024.SEP</t>
  </si>
  <si>
    <t>2024.OCT</t>
  </si>
  <si>
    <t>2024.NOV</t>
  </si>
  <si>
    <t>2024.DEC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</si>
  <si>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</si>
  <si>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</si>
  <si>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</si>
  <si>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</si>
  <si>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</si>
  <si>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</si>
  <si>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</si>
  <si>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</si>
  <si>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</si>
  <si>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</si>
  <si>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</si>
  <si>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</si>
  <si>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2024 TOTAL</t>
  </si>
  <si>
    <t>WORKING BUDGET</t>
  </si>
  <si>
    <t>BUDGET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</si>
  <si>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</si>
  <si>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</si>
  <si>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</si>
  <si>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</si>
  <si>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</si>
  <si>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</si>
  <si>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</si>
  <si>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</si>
  <si>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</si>
  <si>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</si>
  <si>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</si>
  <si>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</si>
  <si>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Utility Plant in Service</t>
  </si>
  <si>
    <t>Utility Plant in Service (PP Only)</t>
  </si>
  <si>
    <t>Service Company Property</t>
  </si>
  <si>
    <t>Plant Purchase Accounting Adjustment</t>
  </si>
  <si>
    <t>Property Under Capital Leases</t>
  </si>
  <si>
    <t>ROUS_OPT_LEASES</t>
  </si>
  <si>
    <t>Plant Purchased or Sold</t>
  </si>
  <si>
    <t>Experimental Plant Unclassified</t>
  </si>
  <si>
    <t>Plant in Process of Reclassification</t>
  </si>
  <si>
    <t>Plant Leased to Others</t>
  </si>
  <si>
    <t>Plant Leased to Others - GAAP adj</t>
  </si>
  <si>
    <t>Plant Held for Future Use</t>
  </si>
  <si>
    <t>Production Properties Held for Future Use</t>
  </si>
  <si>
    <t>Completed Construction not Classified</t>
  </si>
  <si>
    <t>Construction Work in Progress</t>
  </si>
  <si>
    <t>Accumulated Provision for Depreciation</t>
  </si>
  <si>
    <t>Retirement Work in Progress</t>
  </si>
  <si>
    <t>Accumulated Reserve Cost of Removal - Current</t>
  </si>
  <si>
    <t>Accum Reserve Cost of Removal Contra- Current</t>
  </si>
  <si>
    <t>Accumulated Reserve Cost of Removal - Non-Current</t>
  </si>
  <si>
    <t>Accum Reserve Cost of Removal Contra- Non-Current</t>
  </si>
  <si>
    <t>Non-Redundable CIAC</t>
  </si>
  <si>
    <t>Reserve Plant Purchase Accounting Adjustment</t>
  </si>
  <si>
    <t>Accumulated Provision for Depreciation - GAAP adj</t>
  </si>
  <si>
    <t>Accumulated Provision For Amortization</t>
  </si>
  <si>
    <t>Plant Acquisition Adjustments</t>
  </si>
  <si>
    <t>Acquisition Adjustments - Goodwill</t>
  </si>
  <si>
    <t>Accum Provision Amort Plant Acquisition Adjustment</t>
  </si>
  <si>
    <t>Other Plant Adjustments</t>
  </si>
  <si>
    <t>Gas Stored - Base Gas</t>
  </si>
  <si>
    <t>System Balancing Gas</t>
  </si>
  <si>
    <t>Gas Stored in Reservoirs and Pipelines-Noncurrent</t>
  </si>
  <si>
    <t>Gas Owed to System Gas</t>
  </si>
  <si>
    <t>Other Utility Plant</t>
  </si>
  <si>
    <t>Accum Provision Depr Amort Other Utility Plant</t>
  </si>
  <si>
    <t>Nonutility Property</t>
  </si>
  <si>
    <t>Intangible Asset - C</t>
  </si>
  <si>
    <t>Intangible Asset - Non-Current</t>
  </si>
  <si>
    <t>Accum Provision Depr Amortiz Nonutility Property</t>
  </si>
  <si>
    <t>Investment in Associated Companies</t>
  </si>
  <si>
    <t>Investment in Subsidiary Companies</t>
  </si>
  <si>
    <t>Non-Current Other Investments</t>
  </si>
  <si>
    <t>Sinking Funds</t>
  </si>
  <si>
    <t>Depreciation Fund</t>
  </si>
  <si>
    <t>Amortization Fund - Federal</t>
  </si>
  <si>
    <t>Other Special Funds</t>
  </si>
  <si>
    <t>BI Fideicomiso San Jose Flujos Q</t>
  </si>
  <si>
    <t>BI Fideicomiso SJ Flujos Q - Outgoing ACH</t>
  </si>
  <si>
    <t>BI Fideicomiso SJ Flujos Q - Incoming ACH</t>
  </si>
  <si>
    <t>BI Fideicomiso SJ Flujos Q - Outgoing WIRE</t>
  </si>
  <si>
    <t>BI Fideicomiso SJ Flujos Q - Incoming WIRE</t>
  </si>
  <si>
    <t>BI Fideicomiso SJ Flujos Q - Outgoing Check</t>
  </si>
  <si>
    <t>BI Fideicomiso SJ Flujos Q - Incoming Check</t>
  </si>
  <si>
    <t>BI Fideicomiso SJ Flujos Q - Translation Gain/Loss</t>
  </si>
  <si>
    <t>BI Fideicomiso San Jose Flujos USD</t>
  </si>
  <si>
    <t>BI Fideicomiso SJ Flujos USD - Outgoing ACH</t>
  </si>
  <si>
    <t>BI Fideicomiso SJ Flujos USD - Incoming ACH</t>
  </si>
  <si>
    <t>BI Fideicomiso SJ Flujos USD - Outgoing WIRE</t>
  </si>
  <si>
    <t>BI Fideicomiso SJ Flujos USD - Incoming WIRE</t>
  </si>
  <si>
    <t>BI Fideicomiso SJ Flujos USD - Outgoing Check</t>
  </si>
  <si>
    <t>BI Fideicomiso SJ Flujos USD - Incoming Check</t>
  </si>
  <si>
    <t>BI Fideicomiso SJ Flujos USD - Translation G/L</t>
  </si>
  <si>
    <t>BI Fideicomiso San Jose Flujos-Prov Serv de Deuda</t>
  </si>
  <si>
    <t>BI Fideicomiso SJ Flujos Srv Deuda-Outgoing ACH</t>
  </si>
  <si>
    <t>BI Fideicomiso SJ Flujos Srv Deuda-Incoming ACH</t>
  </si>
  <si>
    <t>BI Fideicomiso SJ Flujos Srv Deuda-Outgoing WIRE</t>
  </si>
  <si>
    <t>BI Fideicomiso SJ Flujos Srv Deuda-Incoming WIRE</t>
  </si>
  <si>
    <t>BI Fideicomiso SJ Flujos Srv Deuda-Outgoing Check</t>
  </si>
  <si>
    <t>BI Fideicomiso SJ Flujos Srv Deuda-Incoming Check</t>
  </si>
  <si>
    <t>BI Fideicomiso SJ Flujos Srv Deuda-Translation G/L</t>
  </si>
  <si>
    <t>BI Tecnologia Maritima Restricted Q</t>
  </si>
  <si>
    <t>BI TEMSA Restricted Q - Outgoing ACH</t>
  </si>
  <si>
    <t>BI TEMSA Restricted Q - Incoming ACH</t>
  </si>
  <si>
    <t>BI TEMSA Restricted Q - Outgoing WIRE</t>
  </si>
  <si>
    <t>BI TEMSA Restricted Q - Incoming WIRE</t>
  </si>
  <si>
    <t>BI TEMSA Restricted Q - Outgoing Check</t>
  </si>
  <si>
    <t>BI TEMSA Restricted Q - Incoming Check</t>
  </si>
  <si>
    <t>BI TEMSA Restricted Q - Translation Gain/Loss</t>
  </si>
  <si>
    <t>BI Fideicomiso Antea/Ingresos San Jose Q</t>
  </si>
  <si>
    <t>BI Fideicomiso Antea/Ingresos SJ Q-Transf Salida</t>
  </si>
  <si>
    <t>BI Fideicomiso Antea/Ingresos SJ Q-Transf Ingreso</t>
  </si>
  <si>
    <t>BI Fideicomiso Antea/Ingr SJ Q-Diferencial Camb</t>
  </si>
  <si>
    <t>BI Fideicomiso Antea/Ingresos San Jose USD</t>
  </si>
  <si>
    <t>BI Fideicomiso Antea/Ing SJ USD-Transf Salida</t>
  </si>
  <si>
    <t>BI Fideicomiso Antea/Ingr SJ USD-Transf Ingreso</t>
  </si>
  <si>
    <t>BI Fideicomiso Antea/Ingr SJ USD-Diferencial Camb</t>
  </si>
  <si>
    <t>Restricted Cash - Current</t>
  </si>
  <si>
    <t>Restricted Cash - Non-Current</t>
  </si>
  <si>
    <t>JPM TECO Energy Concentration</t>
  </si>
  <si>
    <t>JPM TECO Energy Concentration - Outgoing ACH</t>
  </si>
  <si>
    <t>JPM TECO Energy Concentration - Incoming ACH</t>
  </si>
  <si>
    <t>JPM TECO Energy Concentration - Outgoing WIRE</t>
  </si>
  <si>
    <t>JPM TECO Energy Concentration - Incoming WIRE</t>
  </si>
  <si>
    <t>JPM TECO Energy Concentration - Outgoing Check</t>
  </si>
  <si>
    <t>JPM TECO Energy Concentration - Incoming Check</t>
  </si>
  <si>
    <t>JPM TECO Energy Concentration - ZBA Clearing</t>
  </si>
  <si>
    <t>JPM TECO Energy Concentration - Other Clearing</t>
  </si>
  <si>
    <t>JPM TECO Energy Operations --</t>
  </si>
  <si>
    <t>JPM TECO Energy Operations - Outgoing ACH</t>
  </si>
  <si>
    <t>JPM TECO Energy Operations - Incoming ACH</t>
  </si>
  <si>
    <t>JPM TECO Energy Operations - Outgoing WIRE</t>
  </si>
  <si>
    <t>JPM TECO Energy Operations - Incoming WIRE</t>
  </si>
  <si>
    <t>JPM TECO Energy Operations - Outgoing Check</t>
  </si>
  <si>
    <t>JPM TECO Energy Operations - Incoming Check</t>
  </si>
  <si>
    <t>JPM TECO Energy Operations - ZBA Clearing</t>
  </si>
  <si>
    <t>JPM TECO Energy Operations - Other Clearing</t>
  </si>
  <si>
    <t>JPM TECO Energy - Payroll</t>
  </si>
  <si>
    <t>JPM TECO Energy - Payroll - Outgoing ACH</t>
  </si>
  <si>
    <t>JPM TECO Energy - Payroll - Incoming ACH</t>
  </si>
  <si>
    <t>JPM TECO Energy - Payroll - Outgoing WIRE</t>
  </si>
  <si>
    <t>JPM TECO Energy - Payroll - Incoming WIRE</t>
  </si>
  <si>
    <t>JPM TECO Energy - Payroll - Outgoing Check</t>
  </si>
  <si>
    <t>JPM TECO Energy - Payroll - Incoming Check</t>
  </si>
  <si>
    <t>JPM TECO Energy - Payroll - ZBA Clearing</t>
  </si>
  <si>
    <t>JPM TECO Energy - Payroll - Other Clearing</t>
  </si>
  <si>
    <t>JPM TECO Energy - Benefits</t>
  </si>
  <si>
    <t>JPM TECO Energy - Benefits - Outgoing ACH</t>
  </si>
  <si>
    <t>JPM TECO Energy - Benefits - Incoming ACH</t>
  </si>
  <si>
    <t>JPM TECO Energy - Benefits - Outgoing WIRE</t>
  </si>
  <si>
    <t>JPM TECO Energy - Benefits - Incoming WIRE</t>
  </si>
  <si>
    <t>JPM TECO Energy - Benefits - Outgoing Check</t>
  </si>
  <si>
    <t>JPM TECO Energy - Benefits - Incoming Check</t>
  </si>
  <si>
    <t>JPM TECO Energy - Benefits - ZBA Clearing</t>
  </si>
  <si>
    <t>JPM TECO Energy - Benefits - Other Clearing</t>
  </si>
  <si>
    <t>JPM TECO Energy Foundation</t>
  </si>
  <si>
    <t>SUN TECO Energy Purchase Card</t>
  </si>
  <si>
    <t>JPM Tampa Electric Concentration</t>
  </si>
  <si>
    <t>JPM Tampa Electric Concentration - Outgoing ACH</t>
  </si>
  <si>
    <t>JPM Tampa Electric Concentration - Incoming ACH</t>
  </si>
  <si>
    <t>JPM Tampa Electric Concentration - Outgoing WIRE</t>
  </si>
  <si>
    <t>JPM Tampa Electric Concentration - Incoming WIRE</t>
  </si>
  <si>
    <t>JPM Tampa Electric Concentration - Outgoing Check</t>
  </si>
  <si>
    <t>JPM Tampa Electric Concentration - Incoming Check</t>
  </si>
  <si>
    <t>JPM Tampa Electric Concentration - ZBA Clearing</t>
  </si>
  <si>
    <t>JPM Tampa Electric Concentration - Other Clearing</t>
  </si>
  <si>
    <t>JPM Tampa Electric - Payroll</t>
  </si>
  <si>
    <t>JPM Tampa Electric - Payroll - Outgoing ACH</t>
  </si>
  <si>
    <t>JPM Tampa Electric - Payroll - Incoming ACH</t>
  </si>
  <si>
    <t>JPM Tampa Electric - Payroll - Outgoing WIRE</t>
  </si>
  <si>
    <t>JPM Tampa Electric - Payroll - Incoming WIRE</t>
  </si>
  <si>
    <t>JPM Tampa Electric - Payroll - Outgoing Check</t>
  </si>
  <si>
    <t>JPM Tampa Electric - Payroll - Incoming Check</t>
  </si>
  <si>
    <t>JPM Tampa Electric - Payroll - ZBA Clearing</t>
  </si>
  <si>
    <t>JPM Tampa Electric - Payroll - Other Clearing</t>
  </si>
  <si>
    <t>JPM Tampa Electric - CDA</t>
  </si>
  <si>
    <t>JPM Tampa Electric - CDA - Outgoing ACH</t>
  </si>
  <si>
    <t>JPM Tampa Electric - CDA - Incoming ACH</t>
  </si>
  <si>
    <t>JPM Tampa Electric - CDA - Outgoing WIRE</t>
  </si>
  <si>
    <t>JPM Tampa Electric - CDA - Incoming WIRE</t>
  </si>
  <si>
    <t>JPM Tampa Electric - CDA - Outgoing Check</t>
  </si>
  <si>
    <t>JPM Tampa Electric - CDA - Incoming Check</t>
  </si>
  <si>
    <t>JPM Tampa Electric - CDA - ZBA Clearing</t>
  </si>
  <si>
    <t>JPM Tampa Electric - CDA - Other Clearing</t>
  </si>
  <si>
    <t>JPM Tampa Electric - Deposits Misc</t>
  </si>
  <si>
    <t>JPM Tampa Electric - Deposits Misc - Outgoing ACH</t>
  </si>
  <si>
    <t>JPM Tampa Electric - Deposits Misc - Incoming ACH</t>
  </si>
  <si>
    <t>JPM Tampa Electric - Deposits Misc - Outgoing WIRE</t>
  </si>
  <si>
    <t>JPM Tampa Electric - Deposits Misc - Incoming WIRE</t>
  </si>
  <si>
    <t>JPM Tampa Electric - Deposits Misc - Outgoing Chk</t>
  </si>
  <si>
    <t>JPM Tampa Electric - Deposits Misc - Incoming Chk</t>
  </si>
  <si>
    <t>JPM Tampa Electric - Deposits Misc - ZBA Clearing</t>
  </si>
  <si>
    <t>JPM Tampa Electric - Deposits Misc - Other Clearng</t>
  </si>
  <si>
    <t>JPM Tampa Electric - ACH/Wires</t>
  </si>
  <si>
    <t>JPM Tampa Electric - ACH/Wires - Outgoing ACH</t>
  </si>
  <si>
    <t>JPM Tampa Electric - ACH/Wires - Incoming ACH</t>
  </si>
  <si>
    <t>JPM Tampa Electric - ACH/Wires - Outgoing WIRE</t>
  </si>
  <si>
    <t>JPM Tampa Electric - ACH/Wires - Incoming WIRE</t>
  </si>
  <si>
    <t>JPM Tampa Electric - ACH/Wires - Incoming Check</t>
  </si>
  <si>
    <t>JPM Tampa Electric - ACH/Wires - ZBA Clearing</t>
  </si>
  <si>
    <t>JPM Tampa Electric - ACH/Wires - Other Clearing</t>
  </si>
  <si>
    <t>Inactive account Do not Use - Deposits</t>
  </si>
  <si>
    <t>Inactive account Do not Use - Deposits-Outgoing ACH</t>
  </si>
  <si>
    <t>Inactive account Do not Use - Deposits-Incoming ACH</t>
  </si>
  <si>
    <t>Inactive account Do not Use - Deposits-Outgoing WIRE</t>
  </si>
  <si>
    <t>Inactive account Do not Use - Deposits-Incoming WIRE</t>
  </si>
  <si>
    <t>Inactive account Do not Use - Deposits-Outgoing Check</t>
  </si>
  <si>
    <t>Inactive account Do not Use - Deposits-Incoming Check</t>
  </si>
  <si>
    <t>Inactive account Do not Use - Deposits-ZBA Clearing</t>
  </si>
  <si>
    <t>Inactive account Do not Use - Deposits-Other Clearing</t>
  </si>
  <si>
    <t>JPM TEC Concen-TEC</t>
  </si>
  <si>
    <t>JPM TEC Concen-TEC - Outgoing ACH</t>
  </si>
  <si>
    <t>JPM TEC Concen-TEC - Incoming ACH</t>
  </si>
  <si>
    <t>JPM TEC Concen-TEC - Outgoing WIRE</t>
  </si>
  <si>
    <t>JPM TEC Concen-TEC - Incoming WIRE</t>
  </si>
  <si>
    <t>JPM TEC Concen-TEC - Outgoing Check</t>
  </si>
  <si>
    <t>JPM TEC Concen-TEC - Incoming Check</t>
  </si>
  <si>
    <t>JPM TEC Concen-TEC - ZBA Clearing</t>
  </si>
  <si>
    <t>JPM TEC Concen-TEC - Other Clearing</t>
  </si>
  <si>
    <t>JPM Power Engineering &amp; Construction. Inc.</t>
  </si>
  <si>
    <t>SUN Tampa Electric Misc Deposit</t>
  </si>
  <si>
    <t>SUN Tampa Electric Meter Dep Ref</t>
  </si>
  <si>
    <t>SUN TEC CRB -TEC Deposit</t>
  </si>
  <si>
    <t>JPM Peoples Gas System Concentration</t>
  </si>
  <si>
    <t>JPM Peoples Gas System Concentration-Outgoing ACH</t>
  </si>
  <si>
    <t>JPM Peoples Gas System Concentration-Incoming ACH</t>
  </si>
  <si>
    <t>JPM Peoples Gas System Concentration-Outgoing WIRE</t>
  </si>
  <si>
    <t>JPM Peoples Gas System Concentration-Incoming WIRE</t>
  </si>
  <si>
    <t>JPM Peoples Gas System Concentration-Outgoing Chk</t>
  </si>
  <si>
    <t>JPM Peoples Gas System Concentration-Incoming Chk</t>
  </si>
  <si>
    <t>JPM Peoples Gas System Concentration-ZBA Clearing</t>
  </si>
  <si>
    <t>JPM Peoples Gas System Concentration-Other Clearng</t>
  </si>
  <si>
    <t>JPM Peoples Gas System-Operations</t>
  </si>
  <si>
    <t>JPM Peoples Gas System-Operations - Outgoing ACH</t>
  </si>
  <si>
    <t>JPM Peoples Gas System-Operations - Incoming ACH</t>
  </si>
  <si>
    <t>JPM Peoples Gas System-Operations - Outgoing WIRE</t>
  </si>
  <si>
    <t>JPM Peoples Gas System-Operations - Incoming WIRE</t>
  </si>
  <si>
    <t>JPM Peoples Gas System-Operations - Outgoing Check</t>
  </si>
  <si>
    <t>JPM Peoples Gas System-Operations - Incoming Check</t>
  </si>
  <si>
    <t>JPM Peoples Gas System-Operations - ZBA Clearing</t>
  </si>
  <si>
    <t>JPM Peoples Gas System-Operations - Other Clearing</t>
  </si>
  <si>
    <t>JPM Peoples Gas System - Payroll</t>
  </si>
  <si>
    <t>JPM Peoples Gas System - Payroll - Outgoing ACH</t>
  </si>
  <si>
    <t>JPM Peoples Gas System - Payroll - Incoming ACH</t>
  </si>
  <si>
    <t>JPM Peoples Gas System - Payroll - Outgoing WIRE</t>
  </si>
  <si>
    <t>JPM Peoples Gas System - Payroll - Incoming WIRE</t>
  </si>
  <si>
    <t>JPM Peoples Gas System - Payroll - Outgoing Check</t>
  </si>
  <si>
    <t>JPM Peoples Gas System - Payroll - Incoming Check</t>
  </si>
  <si>
    <t>JPM Peoples Gas System - Payroll - ZBA Clearing</t>
  </si>
  <si>
    <t>JPM Peoples Gas System - Payroll - Other Clearing</t>
  </si>
  <si>
    <t>JPM Peoples Gas System - Deposits</t>
  </si>
  <si>
    <t>JPM Peoples Gas System - Deposits - ZBA Clearing</t>
  </si>
  <si>
    <t>JPM Peoples Gas System - CDA</t>
  </si>
  <si>
    <t>JPM Peoples Gas System - CDA - Outgoing ACH</t>
  </si>
  <si>
    <t>JPM Peoples Gas System - CDA - Incoming ACH</t>
  </si>
  <si>
    <t>JPM Peoples Gas System - CDA - Outgoing WIRE</t>
  </si>
  <si>
    <t>JPM Peoples Gas System - CDA - Incoming WIRE</t>
  </si>
  <si>
    <t>JPM Peoples Gas System - CDA - Outgoing Check</t>
  </si>
  <si>
    <t>JPM Peoples Gas System - CDA - Incoming Check</t>
  </si>
  <si>
    <t>JPM Peoples Gas System - CDA - ZBA Clearing</t>
  </si>
  <si>
    <t>JPM Peoples Gas System - CDA - Other Clearing</t>
  </si>
  <si>
    <t>JPM Peoples Gas System - Conservation</t>
  </si>
  <si>
    <t>JPM Peoples Gas System - Conservation - ZBA Clearing</t>
  </si>
  <si>
    <t>Inactive account Do not Use - JPM TEC Receivables Concen-PGS</t>
  </si>
  <si>
    <t>Inactive account Do not Use - Concen-PGS - Outgoing ACH</t>
  </si>
  <si>
    <t>Inactive account Do not Use Concen-PGS - Incoming ACH</t>
  </si>
  <si>
    <t>Inactive account Do not Use - Concen-PGS - Outgoing WIRE</t>
  </si>
  <si>
    <t>Inactive account Do not Use - Concen-PGS - Incoming WIRE</t>
  </si>
  <si>
    <t>Inactive account Do not Use - Concen-PGS - Outgoing Check</t>
  </si>
  <si>
    <t>Inactive account Do not Use - Concen-PGS - Incoming Check</t>
  </si>
  <si>
    <t>Inactive account Do not Use - Concen-PGS - ZBA Clearing</t>
  </si>
  <si>
    <t>Inactive account Do not Use - Concen-PGS - Other Clearing</t>
  </si>
  <si>
    <t>SUN Peoples Gas System Meter Dep Ref</t>
  </si>
  <si>
    <t>SUN TEC CRB -PGS Deposit</t>
  </si>
  <si>
    <t>JPM TECO Partners - Operations</t>
  </si>
  <si>
    <t>JPM TECO Partners - Operations - Outgoing ACH</t>
  </si>
  <si>
    <t>JPM TECO Partners - Operations - Incoming ACH</t>
  </si>
  <si>
    <t>JPM TECO Partners - Operations - Outgoing WIRE</t>
  </si>
  <si>
    <t>JPM TECO Partners - Operations - Incoming WIRE</t>
  </si>
  <si>
    <t>JPM TECO Partners - Operations - Outgoing Check</t>
  </si>
  <si>
    <t>JPM TECO Partners - Operations - Incoming Check</t>
  </si>
  <si>
    <t>JPM TECO Partners - Operations - ZBA Clearing</t>
  </si>
  <si>
    <t>JPM TECO Partners - Operations - Other Clearing</t>
  </si>
  <si>
    <t>JPM TECO Partners - Payroll</t>
  </si>
  <si>
    <t>JPM TECO Partners - Payroll - Outgoing ACH</t>
  </si>
  <si>
    <t>JPM TECO Partners - Payroll - Incoming ACH</t>
  </si>
  <si>
    <t>JPM TECO Partners - Payroll - Outgoing WIRE</t>
  </si>
  <si>
    <t>JPM TECO Partners - Payroll - Incoming WIRE</t>
  </si>
  <si>
    <t>JPM TECO Partners - Payroll - Outgoing Check</t>
  </si>
  <si>
    <t>JPM TECO Partners - Payroll - Incoming Check</t>
  </si>
  <si>
    <t>JPM TECO Partners - Payroll - ZBA Clearing</t>
  </si>
  <si>
    <t>JPM TECO Partners - Payroll - Other Clearing</t>
  </si>
  <si>
    <t>Inactive Account   Do not use</t>
  </si>
  <si>
    <t>JPM TECO Coalbed Methane Florida</t>
  </si>
  <si>
    <t>JPM TECO Coalbed Methane Florida - ZBA Clearing</t>
  </si>
  <si>
    <t>JPM TECO Consumer Ventures Inc</t>
  </si>
  <si>
    <t>JPM TECO Diversified Inc</t>
  </si>
  <si>
    <t>JPM TECO Diversified Inc - ZBA Clearing</t>
  </si>
  <si>
    <t>JPM TECO EnergySource Inc</t>
  </si>
  <si>
    <t>JPM TECO EnergySource Inc - ZBA Clearing</t>
  </si>
  <si>
    <t>JPM TECO Finance Inc</t>
  </si>
  <si>
    <t>JPM TECO Finance Inc - ZBA Clearing</t>
  </si>
  <si>
    <t>JPM TECO Gemstone Inc</t>
  </si>
  <si>
    <t>JPM TECO Gemstone Inc - ZBA Clearing</t>
  </si>
  <si>
    <t>JPM TECO Investments Inc</t>
  </si>
  <si>
    <t>JPM TECO Oil &amp; Gas Inc</t>
  </si>
  <si>
    <t>JPM TECO Oil &amp; Gas Inc - ZBA Clearing</t>
  </si>
  <si>
    <t>JPM TECO Properties Inc</t>
  </si>
  <si>
    <t>JPM TECO Properties Inc - ZBA Clearing</t>
  </si>
  <si>
    <t>JPM TECO Solutions Inc</t>
  </si>
  <si>
    <t>JPM TECO Solutions Inc - ZBA Clearing</t>
  </si>
  <si>
    <t>JPM SeaCoast Gas Transmission LLC</t>
  </si>
  <si>
    <t>JPM SeaCoast Gas Transmission LLC - ZBA Clearing</t>
  </si>
  <si>
    <t>JPM TECO Pipeline Holding-Operations</t>
  </si>
  <si>
    <t>JPM TECO Pipeline Holding-Operations-Outgoing ACH</t>
  </si>
  <si>
    <t>JPM TECO Pipeline Holding-Operations-Incoming ACH</t>
  </si>
  <si>
    <t>JPM TECO Pipeline Holding-Operations-Outgoing WIRE</t>
  </si>
  <si>
    <t>JPM TECO Pipeline Holding-Operations-Incoming WIRE</t>
  </si>
  <si>
    <t>JPM TECO Pipeline Holding-Operations-Outgoing Chk</t>
  </si>
  <si>
    <t>JPM TECO Pipeline Holding-Operations-Incoming Chk</t>
  </si>
  <si>
    <t>JPM TECO Pipeline Holding-Operations-ZBA Clearing</t>
  </si>
  <si>
    <t>JPM TECO Pipeline Holding-Operations-Other Clearng</t>
  </si>
  <si>
    <t>JPM TECO Pipeline Holding-Controlled Disbursements</t>
  </si>
  <si>
    <t>JPM TECO Pipeline Holding- CDA - ZBA Clearing</t>
  </si>
  <si>
    <t>JPM TECO Guatemala Inc-Operations</t>
  </si>
  <si>
    <t>JPM TECO Guatemala Inc-Operations - Outgoing ACH</t>
  </si>
  <si>
    <t>JPM TECO Guatemala Inc-Operations - Incoming ACH</t>
  </si>
  <si>
    <t>JPM TECO Guatemala Inc-Operations - Outgoing WIRE</t>
  </si>
  <si>
    <t>JPM TECO Guatemala Inc-Operations - Incoming WIRE</t>
  </si>
  <si>
    <t>JPM TECO Guatemala Inc-Operations - Outgoing Check</t>
  </si>
  <si>
    <t>JPM TECO Guatemala Inc-Operations - Incoming Check</t>
  </si>
  <si>
    <t>JPM TECO Guatemala Inc-Operations - ZBA Clearing</t>
  </si>
  <si>
    <t>JPM TECO Guatemala Inc-Operations - Other Clearing</t>
  </si>
  <si>
    <t>JPM TECO Guatemala Inc - Payroll</t>
  </si>
  <si>
    <t>JPM TECO Guatemala Inc - Payroll - Outgoing ACH</t>
  </si>
  <si>
    <t>JPM TECO Guatemala Inc - Payroll - Incoming ACH</t>
  </si>
  <si>
    <t>JPM TECO Guatemala Inc - Payroll - Outgoing WIRE</t>
  </si>
  <si>
    <t>JPM TECO Guatemala Inc - Payroll - Incoming WIRE</t>
  </si>
  <si>
    <t>JPM TECO Guatemala Inc - Payroll - Outgoing Check</t>
  </si>
  <si>
    <t>JPM TECO Guatemala Inc - Payroll - Incoming Check</t>
  </si>
  <si>
    <t>JPM TECO Guatemala Inc - Payroll - ZBA Clearing</t>
  </si>
  <si>
    <t>JPM TECO Guatemala Inc - Payroll - Other Clearing</t>
  </si>
  <si>
    <t>JPM TPS de Ultramar</t>
  </si>
  <si>
    <t>JPM TECO Guatemala Services Ltd</t>
  </si>
  <si>
    <t>JPM Triangle Finance Company LLC</t>
  </si>
  <si>
    <t>JPM San Jose Power Holding Company Ltd</t>
  </si>
  <si>
    <t>JPM TPS Guatemala One Inc</t>
  </si>
  <si>
    <t>JPM TPS International Power Inc</t>
  </si>
  <si>
    <t>JPM TPS San Jose International Inc</t>
  </si>
  <si>
    <t>BI TPS Operaciones Guatemala Ltda Q - Operations</t>
  </si>
  <si>
    <t>BI TPS Oper Guat Q-Operations - Outgoing ACH</t>
  </si>
  <si>
    <t>BI TPS Oper Guat Q-Operations - Incoming ACH</t>
  </si>
  <si>
    <t>BI TPS Oper Guat Q-Operations - Outgoing WIRE</t>
  </si>
  <si>
    <t>BI TPS Oper Guat Q-Operations - Incoming WIRE</t>
  </si>
  <si>
    <t>BI TPS Oper Guat Q-Operations - Outgoing Check</t>
  </si>
  <si>
    <t>BI TPS Oper Guat Q-Operations - Incoming Check</t>
  </si>
  <si>
    <t>BI TPS Oper Guat Q-Operations - ZBA Clearing</t>
  </si>
  <si>
    <t>BI TPS Oper Guat Q-Operations - Translation G/L</t>
  </si>
  <si>
    <t>BI TPS Operaciones Guatemala Ltda Q - Payroll</t>
  </si>
  <si>
    <t>BI TPS Oper Guat Q-Payroll - Outgoing ACH</t>
  </si>
  <si>
    <t>BI TPS Oper Guat Q-Payroll - Incoming ACH</t>
  </si>
  <si>
    <t>BI TPS Oper Guat Q-Payroll - Outgoing WIRE</t>
  </si>
  <si>
    <t>BI TPS Oper Guat Q-Payroll - Incoming WIRE</t>
  </si>
  <si>
    <t>BI TPS Oper Guat Q-Payroll - Outgoing Check</t>
  </si>
  <si>
    <t>BI TPS Oper Guat Q-Payroll - Incoming Check</t>
  </si>
  <si>
    <t>BI TPS Oper Guat Q-Payroll - ZBA Clearing</t>
  </si>
  <si>
    <t>BI TPS Oper Guat Q-Payroll - Translation Gain/Loss</t>
  </si>
  <si>
    <t>BI TPS Operaciones Guatemala Ltda USD</t>
  </si>
  <si>
    <t>BI TPS Oper Guat USD - Outgoing ACH</t>
  </si>
  <si>
    <t>BI TPS Oper Guat USD - Incoming ACH</t>
  </si>
  <si>
    <t>BI TPS Oper Guat USD - Outgoing WIRE</t>
  </si>
  <si>
    <t>BI TPS Oper Guat USD - Incoming WIRE</t>
  </si>
  <si>
    <t>BI TPS Oper Guat USD - Outgoing Check</t>
  </si>
  <si>
    <t>BI TPS Oper Guat USD - Incoming Check</t>
  </si>
  <si>
    <t>BI TPS Oper Guat USD - ZBA Clearing</t>
  </si>
  <si>
    <t>BI TPS Oper Guat USD - Translation Gain/Loss</t>
  </si>
  <si>
    <t>BI Tampa Centro Americana de Electricidad Ltda Q</t>
  </si>
  <si>
    <t>BI TCAE Q - Outgoing ACH</t>
  </si>
  <si>
    <t>BI TCAE Q - Incoming ACH</t>
  </si>
  <si>
    <t>BI TCAE Q - Outgoing WIRE</t>
  </si>
  <si>
    <t>BI TCAE Q - Incoming WIRE</t>
  </si>
  <si>
    <t>BI TCAE Q - Outgoing Check</t>
  </si>
  <si>
    <t>BI TCAE Q - Incoming Check</t>
  </si>
  <si>
    <t>BI TCAE Q - ZBA Clearing</t>
  </si>
  <si>
    <t>BI TCAE Q - Translation Gain/Loss</t>
  </si>
  <si>
    <t>BI Tampa Centro Americana de Electricidad Ltda USD</t>
  </si>
  <si>
    <t>BI TCAE USD - Outgoing ACH</t>
  </si>
  <si>
    <t>BI TCAE USD - Incoming ACH</t>
  </si>
  <si>
    <t>BI TCAE USD - Outgoing WIRE</t>
  </si>
  <si>
    <t>BI TCAE USD - Incoming WIRE</t>
  </si>
  <si>
    <t>BI TCAE USD - Outgoing Check</t>
  </si>
  <si>
    <t>BI TCAE USD - Incoming Check</t>
  </si>
  <si>
    <t>BI TCAE USD - ZBA Clearing</t>
  </si>
  <si>
    <t>BI TCAE USD - Translation Gain/Loss</t>
  </si>
  <si>
    <t>BI Central Generadora Electrica San Jose Ltd Q</t>
  </si>
  <si>
    <t>BI CGE San Jose Q - Outgoing ACH</t>
  </si>
  <si>
    <t>BI CGE San Jose Q - Incoming ACH</t>
  </si>
  <si>
    <t>BI CGE San Jose Q - Outgoing WIRE</t>
  </si>
  <si>
    <t>BI CGE San Jose Q - Incoming WIRE</t>
  </si>
  <si>
    <t>BI CGE San Jose Q - Outgoing Check</t>
  </si>
  <si>
    <t>BI CGE San Jose Q - Incoming Check</t>
  </si>
  <si>
    <t>BI CGE San Jose Q - ZBA Clearing</t>
  </si>
  <si>
    <t>BI CGE San Jose Q - Translation Gain/Loss</t>
  </si>
  <si>
    <t>BI Central Generadora Electrica San Jose Ltd USD</t>
  </si>
  <si>
    <t>BI CGE San Jose USD - Outgoing ACH</t>
  </si>
  <si>
    <t>BI CGE San Jose USD - Incoming ACH</t>
  </si>
  <si>
    <t>BI CGE San Jose USD - Outgoing WIRE</t>
  </si>
  <si>
    <t>BI CGE San Jose USD - Incoming WIRE</t>
  </si>
  <si>
    <t>BI CGE San Jose USD - Outgoing Check</t>
  </si>
  <si>
    <t>BI CGE San Jose USD - Incoming Check</t>
  </si>
  <si>
    <t>BI CGE San Jose USD - ZBA Clearing</t>
  </si>
  <si>
    <t>BI CGE San Jose USD - Translation Gain/Loss</t>
  </si>
  <si>
    <t>BI Tecnologia Maritima SA Q</t>
  </si>
  <si>
    <t>BI Tecnologia Maritima SA Q - Outgoing ACH</t>
  </si>
  <si>
    <t>BI Tecnologia Maritima SA Q - Incoming ACH</t>
  </si>
  <si>
    <t>BI Tecnologia Maritima SA Q - Outgoing WIRE</t>
  </si>
  <si>
    <t>BI Tecnologia Maritima SA Q - Incoming WIRE</t>
  </si>
  <si>
    <t>BI Tecnologia Maritima SA Q - Outgoing Check</t>
  </si>
  <si>
    <t>BI Tecnologia Maritima SA Q - Incoming Check</t>
  </si>
  <si>
    <t>BI Tecnologia Maritima SA Q - ZBA Clearing</t>
  </si>
  <si>
    <t>BI Tecnologia Maritima SA Q - Translation G/L</t>
  </si>
  <si>
    <t>BI Tecnologia Maritima SA USD</t>
  </si>
  <si>
    <t>BI Tecnologia Maritima SA USD - Outgoing ACH</t>
  </si>
  <si>
    <t>BI Tecnologia Maritima SA USD - Incoming ACH</t>
  </si>
  <si>
    <t>BI Tecnologia Maritima SA USD - Outgoing WIRE</t>
  </si>
  <si>
    <t>BI Tecnologia Maritima SA USD - Incoming WIRE</t>
  </si>
  <si>
    <t>BI Tecnologia Maritima SA USD - Outgoing Check</t>
  </si>
  <si>
    <t>BI Tecnologia Maritima SA USD - Incoming Check</t>
  </si>
  <si>
    <t>BI Tecnologia Maritima SA USD - ZBA Clearing</t>
  </si>
  <si>
    <t>BI Tecnologia Maritima SA USD - Translation G/L</t>
  </si>
  <si>
    <t>BI TPS de Ultramar Guatemala</t>
  </si>
  <si>
    <t>Cash Non-SAP Entities</t>
  </si>
  <si>
    <t>Seacoast National Bank</t>
  </si>
  <si>
    <t>JPM TECO Clean Advantage Corporation</t>
  </si>
  <si>
    <t>JPM TECO Clean Advantage Corp - ZBA Clearing</t>
  </si>
  <si>
    <t>JPM TECO Services Operations</t>
  </si>
  <si>
    <t>JPM TECO Services Operations - Outgoing ACH</t>
  </si>
  <si>
    <t>JPM TECO Services Operations - Incoming ACH</t>
  </si>
  <si>
    <t>JPM TECO Services Operations - Outgoing WIRE</t>
  </si>
  <si>
    <t>JPM TECO Services Operations - Incoming WIRE</t>
  </si>
  <si>
    <t>JPM TECO Services Operations - Outgoing Check</t>
  </si>
  <si>
    <t>JPM TECO Services Operations - Incoming Check</t>
  </si>
  <si>
    <t>JPM TECO Services Operations - ZBA Clearing</t>
  </si>
  <si>
    <t>JPM TECO Services Operations - Other Clearing</t>
  </si>
  <si>
    <t>JPM TECO Services - Payroll</t>
  </si>
  <si>
    <t>JPM TECO Services - Benefits</t>
  </si>
  <si>
    <t>JPM TECO Services - Benefits - Outgoing ACH</t>
  </si>
  <si>
    <t>JPM TECO Services - Benefits - Incoming ACH</t>
  </si>
  <si>
    <t>JPM TECO Services - Benefits - Outgoing WIRE</t>
  </si>
  <si>
    <t>JPM TECO Services - Benefits - Incoming WIRE</t>
  </si>
  <si>
    <t>JPM TECO Services - Benefits - Outgoing Check</t>
  </si>
  <si>
    <t>JPM TECO Services - Benefits - Incoming Check</t>
  </si>
  <si>
    <t>JPM TECO Services - Benefits - ZBA Clearing</t>
  </si>
  <si>
    <t>JPM TECO Services - Benefits - Other Clearing</t>
  </si>
  <si>
    <t>JPM Tampa Electric - SLA 75 LLC</t>
  </si>
  <si>
    <t>SUN PGS Misc. Deposits</t>
  </si>
  <si>
    <t>JPM - TECO CRB One Bill</t>
  </si>
  <si>
    <t>JPM - TECO CRB One Bill - Outgoing ACH</t>
  </si>
  <si>
    <t>JPM - TECO CRB One Bill - Incoming ACH</t>
  </si>
  <si>
    <t>JPM - TECO CRB One Bill - Outgoing WIRE</t>
  </si>
  <si>
    <t>JPM - TECO CRB One Bill - Incoming WIRE</t>
  </si>
  <si>
    <t>JPM - TECO CRB One Bill - Outgoing Check</t>
  </si>
  <si>
    <t>JPM - TECO CRB One Bill - Incoming Check</t>
  </si>
  <si>
    <t>JPM - TECO CRB One Bill - ZBA Clearing</t>
  </si>
  <si>
    <t>JPM - TECO CRB One Bill - Payment Clarification</t>
  </si>
  <si>
    <t>JPM - TECO CRB One Bill - Return Clarification</t>
  </si>
  <si>
    <t>JPM CRB One Bill - Payments One-Time Web Pmts</t>
  </si>
  <si>
    <t>JPM CRB One Bill - Returns- One-Time Web Pmts</t>
  </si>
  <si>
    <t>JPM CRB One Bill - Payments -Online Resources</t>
  </si>
  <si>
    <t>JPM CRB One Bill - Returns - Online Resources</t>
  </si>
  <si>
    <t>JPM CRB One Bill - Payments -Debit/Credit Cards</t>
  </si>
  <si>
    <t>JPM CRB One Bill - Returns -Debit/Credit Cards</t>
  </si>
  <si>
    <t>JPM CRB One Bill - Payments -Direct Debit</t>
  </si>
  <si>
    <t>JPM CRB One Bill - Returns - Direct Debit</t>
  </si>
  <si>
    <t>JPM CRB One Bill - Payments -Amscot</t>
  </si>
  <si>
    <t>JPM CRB One Bill - Returns - Amscot</t>
  </si>
  <si>
    <t>JPM CRB One Bill - Payments -CheckFree</t>
  </si>
  <si>
    <t>JPM CRB One Bill - Returns -CheckFree</t>
  </si>
  <si>
    <t>JPM CRB One Bill - Payments -Fiserve</t>
  </si>
  <si>
    <t>JPM CRB One Bill - Returns - Fiserve</t>
  </si>
  <si>
    <t>JPM CRB One Bill - Payments -FIS e-checks</t>
  </si>
  <si>
    <t>JPM CRB One Bill - Returns - FIS e-checks</t>
  </si>
  <si>
    <t>JPM CRB One Bill - Payments -Hillsborough</t>
  </si>
  <si>
    <t>JPM CRB One Bill - Returns - Hillsborough</t>
  </si>
  <si>
    <t>JPM CRB One Bill - Payments -IPP</t>
  </si>
  <si>
    <t>JPM CRB One Bill - Returns - IPP</t>
  </si>
  <si>
    <t>JPM CRB One Bill - Payments -Ace</t>
  </si>
  <si>
    <t>JPM CRB One Bill - Returns - Ace</t>
  </si>
  <si>
    <t>JPM CRB One Bill - Payments -Fidelity Express</t>
  </si>
  <si>
    <t>JPM CRB One Bill - Returns - Fidelity Express</t>
  </si>
  <si>
    <t>JPM CRB One Bill - Payments -Sherloq</t>
  </si>
  <si>
    <t>JPM CRB One Bill - Returns - Sherloq</t>
  </si>
  <si>
    <t>JPM CRB One Bill - Payments -Online Info</t>
  </si>
  <si>
    <t>JPM CRB One Bill - Returns - Online Info</t>
  </si>
  <si>
    <t>JPM CRB One Bill - Payments -City of Tampa</t>
  </si>
  <si>
    <t>JPM CRB One Bill - Returns - City of Tampa</t>
  </si>
  <si>
    <t>JPM CRB One Bill - Payments -Iqor</t>
  </si>
  <si>
    <t>JPM CRB One Bill - Returns - Iqor</t>
  </si>
  <si>
    <t>JPM CRB One Bill - Payments - Kubra</t>
  </si>
  <si>
    <t>JPM CRB One Bill - Returns - Kubra</t>
  </si>
  <si>
    <t>JPM CRB One Bill - Payments - Western Union</t>
  </si>
  <si>
    <t>JPM CRB One Bill - Returns - Western Union</t>
  </si>
  <si>
    <t>JPM CRB One Bill - Payments - Professional Credit</t>
  </si>
  <si>
    <t>JPM CRB One Bill - Returns - Professional Credit</t>
  </si>
  <si>
    <t>JPM CRB One Bill - Payments - Transworld System</t>
  </si>
  <si>
    <t>JPM CRB One Bill - Returns - Transworld System</t>
  </si>
  <si>
    <t>JPM CRB One Bill - Payments - LJ Ross</t>
  </si>
  <si>
    <t>JPM CRB One Bill - Returns - LJ Ross</t>
  </si>
  <si>
    <t>SUN - CRB One Bill - Deposits</t>
  </si>
  <si>
    <t>SUN - CRB One Bill- Outgoing ACH</t>
  </si>
  <si>
    <t>SUN - CRB One Bill  - Incoming ACH</t>
  </si>
  <si>
    <t>SUN - CRB One Bill  - Outgoing WIRE</t>
  </si>
  <si>
    <t>SUN - CRB One Bill  - Incoming WIRE</t>
  </si>
  <si>
    <t>SUN - CRB One Bill  - Outgoing Check</t>
  </si>
  <si>
    <t>SUN - CRB One Bill  - Incoming Check</t>
  </si>
  <si>
    <t>SUN - CRB One Bill  - ZBA Clearing</t>
  </si>
  <si>
    <t>SUN - CRB One Bill  - Payment Clarification</t>
  </si>
  <si>
    <t>SUN - CRB One Bill  - Return Clarification</t>
  </si>
  <si>
    <t>SUN - CRB One Bill - Payments - Bill to Pay</t>
  </si>
  <si>
    <t>SUN - CRB One Bill - Returns - Bill to Pay</t>
  </si>
  <si>
    <t>SUN - CRB One Bill - Refunds</t>
  </si>
  <si>
    <t>SUN - CRB One Bill Refunds- Outgoing ACH</t>
  </si>
  <si>
    <t>SUN - CRB One Bill Refunds - Incoming ACH</t>
  </si>
  <si>
    <t>SUN - CRB One Bill Refunds - Outgoing WIRE</t>
  </si>
  <si>
    <t>SUN - CRB One Bill Refunds - Incoming WIRE</t>
  </si>
  <si>
    <t>SUN - CRB One Bill Refunds - Outgoing Check</t>
  </si>
  <si>
    <t>SUN - CRB One Bill Refunds - Incoming Check</t>
  </si>
  <si>
    <t>SUN - CRB One Bill Refunds - ZBA Clearing</t>
  </si>
  <si>
    <t>Cash - Miscellaneous Adjustments</t>
  </si>
  <si>
    <t>JPM NMGC - Concentration</t>
  </si>
  <si>
    <t>JPM NMGC - Concen - Outgoing ACH</t>
  </si>
  <si>
    <t>JPM NMGC - Concen - Incoming ACH</t>
  </si>
  <si>
    <t>JPM NMGC - Concen - Outgoing Wire</t>
  </si>
  <si>
    <t>JPM NMGC - Concen - Incoming Wire</t>
  </si>
  <si>
    <t>JPM NMGC - Concen - Outgoing Check</t>
  </si>
  <si>
    <t>JPM NMGC - Concen - Incoming Check</t>
  </si>
  <si>
    <t>JPM NMGC - Concen - ZBA Clearing</t>
  </si>
  <si>
    <t>JPM NMGC - Concen - Other Clearing</t>
  </si>
  <si>
    <t>JPM NMGC - Payroll</t>
  </si>
  <si>
    <t>JPM NMGC - Payroll - Outgoing ACH</t>
  </si>
  <si>
    <t>JPM NMGC - Payroll - Incoming ACH</t>
  </si>
  <si>
    <t>JPM NMGC - Payroll - Outgoing Wire</t>
  </si>
  <si>
    <t>JPM NMGC - Payroll - Incoming Wire</t>
  </si>
  <si>
    <t>JPM NMGC - Payroll - Outgoing Check</t>
  </si>
  <si>
    <t>JPM NMGC - Payroll - Incoming Check</t>
  </si>
  <si>
    <t>JPM NMGC - Payroll - ZBA Clearing</t>
  </si>
  <si>
    <t>JPM NMGC - Payroll - Other Clearing</t>
  </si>
  <si>
    <t>JPM NMGC - Customer Refund</t>
  </si>
  <si>
    <t>JPM NMGC - Cust Refund - Outgoing ACH</t>
  </si>
  <si>
    <t>JPM NMGC - Cust Refund - Incoming ACH</t>
  </si>
  <si>
    <t>JPM NMGC - Cust Refund - Outgoing Wire</t>
  </si>
  <si>
    <t>JPM NMGC - Cust Refund - Incoming Wire</t>
  </si>
  <si>
    <t>JPM NMGC - Cust Refund - Outgoing Check</t>
  </si>
  <si>
    <t>JPM NMGC - Cust Refund - Incoming Check</t>
  </si>
  <si>
    <t>JPM NMGC - Cust Refund - ZBA Clearing</t>
  </si>
  <si>
    <t>JPM NMGC - Cust Refund - Other Clearing</t>
  </si>
  <si>
    <t>JPM NMGC - CDA</t>
  </si>
  <si>
    <t>JPM NMGC - CDA - Outgoing ACH</t>
  </si>
  <si>
    <t>JPM NMGC - CDA - Incoming ACH</t>
  </si>
  <si>
    <t>JPM NMGC - CDA - Outgoing Wire</t>
  </si>
  <si>
    <t>JPM NMGC - CDA - Incoming Wire</t>
  </si>
  <si>
    <t>JPM NMGC - CDA - Outgoing Check</t>
  </si>
  <si>
    <t>JPM NMGC - CDA - Incoming Check</t>
  </si>
  <si>
    <t>JPM NMGC - CDA - ZBA Clearing</t>
  </si>
  <si>
    <t>JPM NMGC - CDA - Other Clearing</t>
  </si>
  <si>
    <t>WF MNGC - Deposit</t>
  </si>
  <si>
    <t>WF MNGC - EFT Deposit</t>
  </si>
  <si>
    <t>WF NMGC - ROW Cash</t>
  </si>
  <si>
    <t>FNB NMGC - Deposit Clayton</t>
  </si>
  <si>
    <t>West Commerce NMGC - Deposit Carlsbad PS</t>
  </si>
  <si>
    <t>Compass NMGC - Deposit</t>
  </si>
  <si>
    <t>Washington Fed NMGC - Deposit Chama</t>
  </si>
  <si>
    <t>US Bank NMGC - Deposit Taos</t>
  </si>
  <si>
    <t>WF New Mexico Gas Intermediate</t>
  </si>
  <si>
    <t>JPM NMGI - Check</t>
  </si>
  <si>
    <t>JPM NMGI -  Outgoing ACH</t>
  </si>
  <si>
    <t>JPM NMGI -  Incoming ACH</t>
  </si>
  <si>
    <t>JPM NMGI - Outgoing Wire</t>
  </si>
  <si>
    <t>JPM NMGI -  Incoming Wire</t>
  </si>
  <si>
    <t>JPM NMGI -  Outgoing Check</t>
  </si>
  <si>
    <t>JPM NMGI -  Incoming Check</t>
  </si>
  <si>
    <t>JPM NMGI -  ZBA Clearing</t>
  </si>
  <si>
    <t>JPM NMGI -  Other Clearing</t>
  </si>
  <si>
    <t>WF NMGC - Concentration</t>
  </si>
  <si>
    <t>Bank of Abq NMGC - Depository</t>
  </si>
  <si>
    <t>JPM Emera Technologies LLC</t>
  </si>
  <si>
    <t>BoA Tampa Electric Cash</t>
  </si>
  <si>
    <t>BoA Tampa Electric Cash - Outgoing ACH</t>
  </si>
  <si>
    <t>BoA Tampa Electric Cash  - Incoming ACH</t>
  </si>
  <si>
    <t>BoA Tampa Electric Cash - Outgoing Wire</t>
  </si>
  <si>
    <t>BoA Tampa Electric Cash - Incoming Wire</t>
  </si>
  <si>
    <t>BoA Tampa Electric Cash - Outgoing Check</t>
  </si>
  <si>
    <t>BoA Tampa Electric Cash - Incoming Check</t>
  </si>
  <si>
    <t>BoA Tampa Electric Cash - ZBA Clearing</t>
  </si>
  <si>
    <t>BoA Tampa Electric Cash - Other Clearing</t>
  </si>
  <si>
    <t>JPM TGOI - Operations</t>
  </si>
  <si>
    <t>JPM TGOI - Outgoing ACH</t>
  </si>
  <si>
    <t>JPM TGOI - Incoming ACH</t>
  </si>
  <si>
    <t>JPM TGOI - Outgoing WIRE</t>
  </si>
  <si>
    <t>JPM TGOI - Incoming WIRE</t>
  </si>
  <si>
    <t>JPM TGOI -Outgoing Check</t>
  </si>
  <si>
    <t>JPM TGOI - Incoming Check</t>
  </si>
  <si>
    <t>JPM TGOI - ZBA Clearing</t>
  </si>
  <si>
    <t>Interest Special Deposits</t>
  </si>
  <si>
    <t>Dividend Special Deposits</t>
  </si>
  <si>
    <t>Other Special Deposits</t>
  </si>
  <si>
    <t>Special Deposits - Suntrust</t>
  </si>
  <si>
    <t>Other Special Deposits - Long-term</t>
  </si>
  <si>
    <t>Petty Cash USD</t>
  </si>
  <si>
    <t>Petty Cash GTQ</t>
  </si>
  <si>
    <t>Cash Equiv - Investments (0-90 Days) Local Currency</t>
  </si>
  <si>
    <t>Cash Equivalents USD - Investments (0 To 90 Days)</t>
  </si>
  <si>
    <t>Short-term Investments (&gt; 90 Days)</t>
  </si>
  <si>
    <t>Notes Receivable - Current</t>
  </si>
  <si>
    <t>Notes Receivable - Non-current</t>
  </si>
  <si>
    <t>AR - CRM (includes TEC-R) (RECON)</t>
  </si>
  <si>
    <t>AR - CRM (includes TEC-R) (Posting)</t>
  </si>
  <si>
    <t>AR - CRM Overpayment (Includes TEC-R) (RECON)</t>
  </si>
  <si>
    <t>AR - CRM Overpayment (Includes TEC-R) (Posting)</t>
  </si>
  <si>
    <t>AR CIS/Banner (Includes TEC-R)</t>
  </si>
  <si>
    <t>AR CIS Incremental Billing</t>
  </si>
  <si>
    <t>AR CIS/Banner Unapplied Cash (Includes TEC-R)</t>
  </si>
  <si>
    <t>AR CIS Unapplied Refunds - TEC-R</t>
  </si>
  <si>
    <t>AR CIS Levelized Billing - TEC-R</t>
  </si>
  <si>
    <t>AR Off System Sales - TEC-R (RECON)</t>
  </si>
  <si>
    <t>AR Off System Sales - TEC-R (Posting)</t>
  </si>
  <si>
    <t>AR Customer - Other (RECON)</t>
  </si>
  <si>
    <t>AR Customer - Other (Posting)</t>
  </si>
  <si>
    <t>AR Misc Other (RECON)</t>
  </si>
  <si>
    <t>AR Misc Other (Posting)</t>
  </si>
  <si>
    <t>AR Misc Other FASB52</t>
  </si>
  <si>
    <t>AR Misc Other VEBA</t>
  </si>
  <si>
    <t>AR - Vendor Advance Payments (RECON)</t>
  </si>
  <si>
    <t>AR - Taxes Receivable</t>
  </si>
  <si>
    <t>AR - VAT Receivable - Translation Gain/Loss</t>
  </si>
  <si>
    <t>AR - VAT Receivable</t>
  </si>
  <si>
    <t>AR - VAT Withholding</t>
  </si>
  <si>
    <t>AR - Employee Advances</t>
  </si>
  <si>
    <t>AR - Employee Advances - Translation Gain/Loss</t>
  </si>
  <si>
    <t>AR - Employee Purchases</t>
  </si>
  <si>
    <t>AR - Employee Personal Reimbursement Pcard Charge</t>
  </si>
  <si>
    <t>AR CRM Non-Utility (RECON)</t>
  </si>
  <si>
    <t>AR CRM Non-Utility (Posting)</t>
  </si>
  <si>
    <t>AR CRM Non-Utility Overpayment (RECON)</t>
  </si>
  <si>
    <t>AR CRM Non-Utility Overpayment (Posting)</t>
  </si>
  <si>
    <t>AR - Margin Calls (Non-Derivative)</t>
  </si>
  <si>
    <t>AR - Vendor Advance Payments - Translation Gain/Loss</t>
  </si>
  <si>
    <t>AR - Income Taxes Receivable - Federal</t>
  </si>
  <si>
    <t>AR - Income Taxes Receivable - State</t>
  </si>
  <si>
    <t>AR - CIS Incremental Billing - Non-Gas</t>
  </si>
  <si>
    <t>AR - CIS Jobbing Reclass</t>
  </si>
  <si>
    <t>AR - Misc Receivables Unapplied Cash</t>
  </si>
  <si>
    <t>Accumulated Provision for Uncollectible Accounts</t>
  </si>
  <si>
    <t>Accum Provision for Uncollectible Accts - CRM FF</t>
  </si>
  <si>
    <t>Accum Provision for Uncollectible Accts - CRM GRT</t>
  </si>
  <si>
    <t>Accum Provision for Uncollectible - Regular</t>
  </si>
  <si>
    <t>Accum Provision for Uncollectible - Misc Billing</t>
  </si>
  <si>
    <t>Notes Receivable - Intercompany - Current</t>
  </si>
  <si>
    <t>Notes Receivable - EUSHI Interco - Current</t>
  </si>
  <si>
    <t>Notes Receivable - Intercompany - Shared STD</t>
  </si>
  <si>
    <t>Notes Receivable - Intercompany - Shared LTD</t>
  </si>
  <si>
    <t>Notes Receivable - Intercompany - Non-Current</t>
  </si>
  <si>
    <t>Trade Receivable-Intercompany (RECON)</t>
  </si>
  <si>
    <t>Trade Receivable-Intercompany (Posting)</t>
  </si>
  <si>
    <t>Do Not USE-Trade Receivable-Intercompany - TECO Coal</t>
  </si>
  <si>
    <t>Trade Receivable-Intercompany FASB52</t>
  </si>
  <si>
    <t>Do Not USE-Trade Receivable-Interco-New Mexico Gas Intermed</t>
  </si>
  <si>
    <t>Do Not USE-Trade Receivable-Interco-New Mexico Gas Company</t>
  </si>
  <si>
    <t>Trade Receivable-Interco-Emera Inc. E009</t>
  </si>
  <si>
    <t>Trade Receivable-Interco-Emera Energy E012</t>
  </si>
  <si>
    <t>Trade Receivable-Interco-Grand Bahama PowerCo E851</t>
  </si>
  <si>
    <t>Trade Receivable-Interco-Nova Scotia Power E001</t>
  </si>
  <si>
    <t>Interest Receivable-Intercompany (RECON)</t>
  </si>
  <si>
    <t>Interest Receivable-Intercompany (Posting)</t>
  </si>
  <si>
    <t>Interest Receivable-Intercompany - Shared STD</t>
  </si>
  <si>
    <t>Interest Receivable-Intercompany - Shared LTD</t>
  </si>
  <si>
    <t>Dividend Receivable-Intercompany (RECON)</t>
  </si>
  <si>
    <t>Dividend Receivable-Intercompany (Posting)</t>
  </si>
  <si>
    <t>Advance Receivable-Intercompany</t>
  </si>
  <si>
    <t>Advance Receivable-Intercompany FASB52</t>
  </si>
  <si>
    <t>Interco Receivable - CRM - TECO OneBill</t>
  </si>
  <si>
    <t>Interco Receivable - CRM - TEC</t>
  </si>
  <si>
    <t>Interco Receivable - CRM - PGS</t>
  </si>
  <si>
    <t>Interco Receivable - CRM - TPI</t>
  </si>
  <si>
    <t>Trade Receivable-Interco-Emera Brunswick E350</t>
  </si>
  <si>
    <t>Trade Receivable-Interco-Emera Caribbean Hlds Ltd  E033</t>
  </si>
  <si>
    <t>Trade Receivable-Interco-EUSHI E390 (Emera US Holdings)</t>
  </si>
  <si>
    <t>Trade Rec-Interco-Emera ICD Utilities E850</t>
  </si>
  <si>
    <t>Trade Rec-Interco-Emera US Sub 1 E017</t>
  </si>
  <si>
    <t>Trade Rec-Interco-Emera Scotia Power E025</t>
  </si>
  <si>
    <t>Trade Rec-Interco-Emera Bridgeport Energy E064</t>
  </si>
  <si>
    <t>Trade Rec-Interco-Emera Tiverton Power E065</t>
  </si>
  <si>
    <t>Trade Rec-Interco-Emera Rumford Power E066</t>
  </si>
  <si>
    <t>Trade Rec-Interco-Emera Energy Generation II E396</t>
  </si>
  <si>
    <t>Trade Rec-Interco-Emera Caribbean Inc E855</t>
  </si>
  <si>
    <t>Trade Rec-Interco-Emera Maine E393</t>
  </si>
  <si>
    <t>Trade Rec-Interco-Emera Energy Services Inc. E016</t>
  </si>
  <si>
    <t>Trade Rec-Interco-Emera Grand HVAC Leasing US E416</t>
  </si>
  <si>
    <t>Trade Rec-Interco-Emera Technologies LLC E410</t>
  </si>
  <si>
    <t>Trade Rec-Interco-ETL Project Company E450</t>
  </si>
  <si>
    <t>Trade Rec-Interco-Emera Technologies Hldg LLC E451</t>
  </si>
  <si>
    <t>Trade Rec-Interco-ETL IP Holdings, Inc. E452</t>
  </si>
  <si>
    <t>Trade Rec-Interco-BlockEnergy Labs Inc. E453</t>
  </si>
  <si>
    <t>Trade Rec-Interco-BlockStorage Labs Inc. E454</t>
  </si>
  <si>
    <t>Trade Receivable-Emera Interco on SAP  E410 (RECON)</t>
  </si>
  <si>
    <t>Trade Receivable-Emera Interco on SAP E410 (Posting)</t>
  </si>
  <si>
    <t>Trade Receivable-Emera Intercompany (RECON)</t>
  </si>
  <si>
    <t>Trade Receivable-Emera Intercompany (Posting)</t>
  </si>
  <si>
    <t>Trade Rec-Interco-Emera Energy Svc E016 Asset Mgmt</t>
  </si>
  <si>
    <t>Fuel Stock - Diesel</t>
  </si>
  <si>
    <t>Fuel Stock - Unleaded</t>
  </si>
  <si>
    <t>Fuel Stock - Coal</t>
  </si>
  <si>
    <t>Fuel Stock - #2 Oil</t>
  </si>
  <si>
    <t>Fuel Stock - #6 Oil</t>
  </si>
  <si>
    <t>Fuel Stock - Natural Gas</t>
  </si>
  <si>
    <t>Fuel Stock - Propane</t>
  </si>
  <si>
    <t>Fuel Stock - Oil Offsite Storage</t>
  </si>
  <si>
    <t>Fuel Stock - Diesel - Generation (RECON)</t>
  </si>
  <si>
    <t>Fuel Stock - Coal (RECON)</t>
  </si>
  <si>
    <t>Fuel Stock - Diesel - Transportation (RECON)</t>
  </si>
  <si>
    <t>Fuel Stock Exp Undistrib - Diesel</t>
  </si>
  <si>
    <t>Fuel Stock Exp Undistrib - Coal</t>
  </si>
  <si>
    <t>Fuel Stock Exp Undistrib - #2 Oil</t>
  </si>
  <si>
    <t>Fuel Stock Exp Undistrib - #6 Oil</t>
  </si>
  <si>
    <t>Fuel Stock Exp Undistrib - Natural Gas</t>
  </si>
  <si>
    <t>Fuel Stock Exp Undistrib - Propane</t>
  </si>
  <si>
    <t>Fuel Stock Exp Undistrib - Legal</t>
  </si>
  <si>
    <t>Residuals - Slag</t>
  </si>
  <si>
    <t>Residuals - Fly Ash</t>
  </si>
  <si>
    <t>Residuals - Bottom Ash</t>
  </si>
  <si>
    <t>Residuals - Brine</t>
  </si>
  <si>
    <t>Residuals - Sulfuric Acid</t>
  </si>
  <si>
    <t>Residuals - Gypsum</t>
  </si>
  <si>
    <t>Residuals - Other</t>
  </si>
  <si>
    <t>Plant Materials and Operating Supplies (RECON)</t>
  </si>
  <si>
    <t>Plant Materials and Operating Supplies (Posting)</t>
  </si>
  <si>
    <t>Merchandise (RECON)</t>
  </si>
  <si>
    <t>Merchandise (Posting)</t>
  </si>
  <si>
    <t>Other Materials and Supplies</t>
  </si>
  <si>
    <t>Allowance Inventory</t>
  </si>
  <si>
    <t>Allowances Withheld</t>
  </si>
  <si>
    <t>Stores Expense Undistributed</t>
  </si>
  <si>
    <t>Gas Stored - Current</t>
  </si>
  <si>
    <t>Gas Stored - Storage Off-System Sales</t>
  </si>
  <si>
    <t>Liquefied Natural Gas Stored</t>
  </si>
  <si>
    <t>Liquefied Natural Gas Held for Processing</t>
  </si>
  <si>
    <t>Prepaid Downpayment</t>
  </si>
  <si>
    <t>Prepaid Pasco Cogen</t>
  </si>
  <si>
    <t>Prepaid Oleander Oil PPA</t>
  </si>
  <si>
    <t>Prepaid Ammonia Supply</t>
  </si>
  <si>
    <t>Prepaid Water</t>
  </si>
  <si>
    <t>Prepaid Permits</t>
  </si>
  <si>
    <t>Prepaid Short-term Debt Facility Fees</t>
  </si>
  <si>
    <t>Prepaid Interest Expense</t>
  </si>
  <si>
    <t>Prepaid LTSA - Polk Unit #1</t>
  </si>
  <si>
    <t>Prepaid CSA - Polk Unit #2</t>
  </si>
  <si>
    <t>Prepaid CSA - Polk Unit #3</t>
  </si>
  <si>
    <t>Prepaid CSA - Polk Unit #4</t>
  </si>
  <si>
    <t>Prepaid CSA - Polk Unit #5</t>
  </si>
  <si>
    <t>Prepaid CSA - Bayside #1</t>
  </si>
  <si>
    <t>Prepaid CSA - Bayside #2</t>
  </si>
  <si>
    <t>DO NOT USE - Prepaid Insurance - Automobile</t>
  </si>
  <si>
    <t>DO NOT USE - Prepaid Insurance - Blanket Accident</t>
  </si>
  <si>
    <t>DO NOT USE - Prepaid Insurance - Brokerage Fees</t>
  </si>
  <si>
    <t>DO NOT USE - Prepaid Insurance - Crime &amp; Fidelity</t>
  </si>
  <si>
    <t>DO NOT USE - Prepaid Insurance - Directors &amp; Officers</t>
  </si>
  <si>
    <t>DO NOT USE - Prepaid Insurance - Errors and Omissions</t>
  </si>
  <si>
    <t>DO NOT USE - Prepaid Insurance - Excess Automobile</t>
  </si>
  <si>
    <t>DO NOT USE - Prepaid Insurance - Excess General Liability</t>
  </si>
  <si>
    <t>DO NOT USE - Prepaid Insurance - Fiduciary</t>
  </si>
  <si>
    <t>DO NOT USE - Prepaid Insurance - I&amp;D Reserves</t>
  </si>
  <si>
    <t>DO NOT USE - Prepaid Insurance - Longshoremen's Compensation</t>
  </si>
  <si>
    <t>DO NOT USE - Prepaid Insurance - Mobile Equipment Rental</t>
  </si>
  <si>
    <t>DO NOT USE - Prepaid Insurance - Political Risk</t>
  </si>
  <si>
    <t>DO NOT USE - Prepaid Insurance - Practices Liability</t>
  </si>
  <si>
    <t>DO NOT USE - Prepaid Insurance - Property</t>
  </si>
  <si>
    <t>DO NOT USE - Prepaid Insurance - Punitive Damages</t>
  </si>
  <si>
    <t>DO NOT USE - Prepaid Insurance - Special Risk</t>
  </si>
  <si>
    <t>DO NOT USE - Prepaid Insurance - Surety Bonds</t>
  </si>
  <si>
    <t>DO NOT USE - Prepaid Insurance - Travel Accident</t>
  </si>
  <si>
    <t>DO NOT USE - Prepaid Insurance - Workers Compensation - Exce</t>
  </si>
  <si>
    <t>DO NOT USE - Prepaid Insurance - Workers Compensation - Stat</t>
  </si>
  <si>
    <t>Prepaid Insurance - Other</t>
  </si>
  <si>
    <t>Prepaid Miscellaneous</t>
  </si>
  <si>
    <t>Prepaid Miscellaneous - Other Shared Services</t>
  </si>
  <si>
    <t>Prepaid Miscellaneous - Transmission</t>
  </si>
  <si>
    <t>Prepaid Miscellaneous - Distribution</t>
  </si>
  <si>
    <t>Prepaid Miscellaneous - Production</t>
  </si>
  <si>
    <t>Interest and Dividends Receivable</t>
  </si>
  <si>
    <t>Rents Receivable</t>
  </si>
  <si>
    <t>Minimum Lease Payments Receivable Current-GAAP adj</t>
  </si>
  <si>
    <t>Minimum Lease Payments Receivable NonCurr-GAAP adj</t>
  </si>
  <si>
    <t>Lease contra-Unearned Interest Rev-GAAP adj</t>
  </si>
  <si>
    <t>Accrued Utility Revenues - Current</t>
  </si>
  <si>
    <t>Accrued Utility Revenues - Noncurrent</t>
  </si>
  <si>
    <t>Misc Accrued Assets Held For Sale - Current</t>
  </si>
  <si>
    <t>Misc Accrued Assets Held For Sale - Noncurrent</t>
  </si>
  <si>
    <t>Non-Regulated Intangibles &amp; Goodwill</t>
  </si>
  <si>
    <t>Gas Imbalance</t>
  </si>
  <si>
    <t>Current Derivative Asset</t>
  </si>
  <si>
    <t>Current Derivative Premium</t>
  </si>
  <si>
    <t>Current Derivative Asset - Collateral</t>
  </si>
  <si>
    <t>Long-Term Derivative Asset</t>
  </si>
  <si>
    <t>Long-Term Derivative Premium</t>
  </si>
  <si>
    <t>Current Deriv Asset-Intercompany</t>
  </si>
  <si>
    <t>Current Deriv Premium Asset-Intercompany</t>
  </si>
  <si>
    <t>Non-Current Deriv Asset-Intercompany</t>
  </si>
  <si>
    <t>Non-Current Deriv Premium Asset-Interco</t>
  </si>
  <si>
    <t>Unamortized Debt Expense - Short-term Loan</t>
  </si>
  <si>
    <t>Unamortized Debt Expense - Recourse</t>
  </si>
  <si>
    <t>Unamortized Debt Expense - Term Loan LT</t>
  </si>
  <si>
    <t>Unamortized Debt Expense - Non-Recourse</t>
  </si>
  <si>
    <t>Extraordinary Property Losses</t>
  </si>
  <si>
    <t>Unrecovered Plant Regulatory Study Costs</t>
  </si>
  <si>
    <t>Unrecov Plant - (CETM) Clean Energy Trans Mech Cur</t>
  </si>
  <si>
    <t>Unrecov Plant - (CETM) Clean Energy Trans Mech NC</t>
  </si>
  <si>
    <t>Oth Reg Asset-Fuel Clause</t>
  </si>
  <si>
    <t>Oth Reg Asset-Capacity Clause</t>
  </si>
  <si>
    <t>Oth Reg Asset-Conservation Clause</t>
  </si>
  <si>
    <t>Oth Reg Asset-Environmental Clause</t>
  </si>
  <si>
    <t>Oth Reg Asset-Competitive Rate Adjustment Clause</t>
  </si>
  <si>
    <t>Oth Reg Asset-Cast Iron Bare Steel Replacem Rider</t>
  </si>
  <si>
    <t>Oth Reg Asset - Surcharge Rider (RR14)</t>
  </si>
  <si>
    <t>Oth Reg Asset - Pipeline Safety</t>
  </si>
  <si>
    <t>Oth Reg Asset-Weather Norm UnderRcv Resid-Cur</t>
  </si>
  <si>
    <t>Oth Reg Asset-Weather Norm UnderRcv Comm-Cur</t>
  </si>
  <si>
    <t>Oth Reg Asset-Storm Protection Clause</t>
  </si>
  <si>
    <t>Oth Reg Asset-FAS 158 Benefit Current</t>
  </si>
  <si>
    <t>Oth Reg Asset-PBOP FAS 106 Current</t>
  </si>
  <si>
    <t>Oth Reg Asset-Rate Case Expense Current</t>
  </si>
  <si>
    <t>Oth Reg Asset-Deferred Dredging Costs Current</t>
  </si>
  <si>
    <t>Oth Reg Asset-ARO Asset Current</t>
  </si>
  <si>
    <t>Current Derivative Asset - Regulatory</t>
  </si>
  <si>
    <t>Oth Reg Asset-Asset Optimization Gain Current</t>
  </si>
  <si>
    <t>Oth Reg Asset-Storm Settlement Current</t>
  </si>
  <si>
    <t>Oth Reg Asset-Deft Loss Prof Sales-Current</t>
  </si>
  <si>
    <t>Oth Reg Asset-Debt Basis Adjustment Current</t>
  </si>
  <si>
    <t>Oth Reg Asset-Non-Capital SW Project Costs Current</t>
  </si>
  <si>
    <t>Oth Reg Asset - (IMP) Integrity Management Proj Cur</t>
  </si>
  <si>
    <t>Accum Provision for Property Insurance-Debit-Curr</t>
  </si>
  <si>
    <t>Oth Reg Asset-FAS 158 Benefit Non-Current</t>
  </si>
  <si>
    <t>Oth Reg Asset-PBOP FAS 106 Non-Current</t>
  </si>
  <si>
    <t>Oth Reg Asset-Rate Case Expense Non-Current</t>
  </si>
  <si>
    <t>Oth Reg Asset-Deferred Dredging Costs Non-Current</t>
  </si>
  <si>
    <t>Oth Reg Asset-ARO Asset Non-Current</t>
  </si>
  <si>
    <t>Long-Term Derivative Asset - Regulatory</t>
  </si>
  <si>
    <t>Oth Reg Asset-Asset Optimization Gain Non-Current</t>
  </si>
  <si>
    <t>Oth Reg Asset-Storm Settlement Non-Current</t>
  </si>
  <si>
    <t>Oth Reg Asset-Deft Loss Prop Sales Non-Current</t>
  </si>
  <si>
    <t>Oth Reg Asset-Non-Capital SW Project Costs NC</t>
  </si>
  <si>
    <t>Oth Reg Asset - (IMP) Integrity Management Proj NC</t>
  </si>
  <si>
    <t>Oth Reg Asset-Fuel Clause Non-Current</t>
  </si>
  <si>
    <t>Oth Reg Assest-Evniromental Remediation cost NC</t>
  </si>
  <si>
    <t>Oth Reg Asset-Deferred Aerial Survey Adjustments</t>
  </si>
  <si>
    <t>Oth Reg Asset-Residential Load Management</t>
  </si>
  <si>
    <t>Oth Reg Asset-Commercial Load Management</t>
  </si>
  <si>
    <t>Oth Reg Asset-Price Responsive Load Management</t>
  </si>
  <si>
    <t>Oth Reg Asset-Industrial Load Management</t>
  </si>
  <si>
    <t>Oth Reg Asset-Energy Education Awareness/Outreach</t>
  </si>
  <si>
    <t>Oth Reg Asset-Emergency Conditions - COVID-19</t>
  </si>
  <si>
    <t>Oth Reg Asset-Integrated Renewable Energy System</t>
  </si>
  <si>
    <t>Oth Reg Asset-Prime Time Plus</t>
  </si>
  <si>
    <t>Oth Reg Asset-TIMP Accrual - Current</t>
  </si>
  <si>
    <t>Oth Reg Asset-Environmental Remediation</t>
  </si>
  <si>
    <t>Oth Reg Asset-Environmental Remediation Costs</t>
  </si>
  <si>
    <t>Oth Reg Asset - Debt Basis Adjustment</t>
  </si>
  <si>
    <t>Oth Reg Asset-FAS 109 Income Tax</t>
  </si>
  <si>
    <t>Oth Reg Asset-Medicare Part D</t>
  </si>
  <si>
    <t>Oth Reg Asset-Deferred Tax Reform Impact Current</t>
  </si>
  <si>
    <t>Oth Reg Asset-FAS 109 Income Tax Current</t>
  </si>
  <si>
    <t>Preliminary Survey and Investigation Charges</t>
  </si>
  <si>
    <t>Prelim Natural Gas Survey &amp; Investigation Charges</t>
  </si>
  <si>
    <t>Other Preliminary Survey and Investigation Charges</t>
  </si>
  <si>
    <t>Clearing Account - General</t>
  </si>
  <si>
    <t>Clearing Account - General - Translation Gain/Loss</t>
  </si>
  <si>
    <t>Clearing - Cash Currency Transactions</t>
  </si>
  <si>
    <t>Clearing Account - Uniform Rental</t>
  </si>
  <si>
    <t>CIS Interface Suspense Account</t>
  </si>
  <si>
    <t>PowerPlant Interface Suspense Account</t>
  </si>
  <si>
    <t>Interface Document Balancing Account</t>
  </si>
  <si>
    <t>HR Document Balancing Account</t>
  </si>
  <si>
    <t>Deferred Debits - SERP Trust</t>
  </si>
  <si>
    <t>Deferred Debits - Undistributed Aetna Medical Pmts</t>
  </si>
  <si>
    <t>Deferred Debits - Undistributed Flex Spending</t>
  </si>
  <si>
    <t>Developmental Assets (TECO Coal)</t>
  </si>
  <si>
    <t>Right of Way  Expenses</t>
  </si>
  <si>
    <t>Rights of Way - CPR(Continuing Property Ledger)</t>
  </si>
  <si>
    <t>Rights of Way - Accumulated Amortization</t>
  </si>
  <si>
    <t>Deferred Debits - Other</t>
  </si>
  <si>
    <t>Deferred Debits - Accumulated Amortization</t>
  </si>
  <si>
    <t>Deferred Losses from Disposition of Utility Plant</t>
  </si>
  <si>
    <t>Research Development &amp; Demonstration Expenditures</t>
  </si>
  <si>
    <t>Unamortized Loss on Reacquired Debt - Short-term</t>
  </si>
  <si>
    <t>Unamortized Loss on Reacquired Debt</t>
  </si>
  <si>
    <t>DIT Asset - Current</t>
  </si>
  <si>
    <t>Deferred Tax Asset - Federal</t>
  </si>
  <si>
    <t>Deferred Debit Tax - Federal Amt</t>
  </si>
  <si>
    <t>DTA Separate Company - Federal</t>
  </si>
  <si>
    <t>Deferred Tax Asset - Federal Non Utility</t>
  </si>
  <si>
    <t>Deferred Tax FIT - FAS 133</t>
  </si>
  <si>
    <t>Deferred Tax FIT - FAS 133 Interest</t>
  </si>
  <si>
    <t>Deferred Tax FIT - FAS 158</t>
  </si>
  <si>
    <t>Deferred Tax FIT - FAS 158 - Medicare Part D</t>
  </si>
  <si>
    <t>Deferred Tax FIT - Credits</t>
  </si>
  <si>
    <t>Deferred Tax FIT - Production Tax Credits</t>
  </si>
  <si>
    <t>Deferred Tax Asset - State</t>
  </si>
  <si>
    <t>Deferred Debit Tax - State Amt</t>
  </si>
  <si>
    <t>Deferred Debit Tax - SIT NOL</t>
  </si>
  <si>
    <t>DTA Separate Company - State</t>
  </si>
  <si>
    <t>Deferred Tax Asset - State Non Utility</t>
  </si>
  <si>
    <t>Deferred Tax SIT - FAS 133</t>
  </si>
  <si>
    <t>Deferred Tax SIT - FAS 133 Interest</t>
  </si>
  <si>
    <t>Deferred Tax SIT - FAS 158</t>
  </si>
  <si>
    <t>Deferred Tax SIT - FAS 158 - Medicare Part D</t>
  </si>
  <si>
    <t>Deferred Tax SIT - Credits</t>
  </si>
  <si>
    <t>Deferred Tax-Valuation Allow</t>
  </si>
  <si>
    <t>Deferred Tax Fd ITC - FAS109 Inc Tax</t>
  </si>
  <si>
    <t>Unrecovered Purchased Gas Costs - Current</t>
  </si>
  <si>
    <t>Unrecov Purch Gas Cost-Deriv Settled - Current</t>
  </si>
  <si>
    <t>Unrecov Purch Gas Cost-Deriv Offset - Current</t>
  </si>
  <si>
    <t>Unrecov Purch Gas Cost 2021 Winter Event - Current</t>
  </si>
  <si>
    <t>Unrecov Purch Gas Adj Contra - Current</t>
  </si>
  <si>
    <t>Other Reg Liab Pur Gas Adj Reclass - Current</t>
  </si>
  <si>
    <t>Unrecovered Purchased Gas Costs - Non-Current</t>
  </si>
  <si>
    <t>Unrecov Purch Gas Cost-Deriv Settled - Non-Current</t>
  </si>
  <si>
    <t>Unrecov Purch Gas Cost-Deriv Offset - Non-Current</t>
  </si>
  <si>
    <t>Unrecov Purch Gas Cost 2021 Winter Event - Non-Cur</t>
  </si>
  <si>
    <t>CRM Data Takeover</t>
  </si>
  <si>
    <t>Common Stock Issued</t>
  </si>
  <si>
    <t>Common Stock Issued - Employee Restricted</t>
  </si>
  <si>
    <t>Common Stock Issued - Deferred Dividend Restricted</t>
  </si>
  <si>
    <t>Common Stock Issued - Directors' Restricted</t>
  </si>
  <si>
    <t>Common Stock Issued - Intercompany</t>
  </si>
  <si>
    <t>Premium on Capital Stock</t>
  </si>
  <si>
    <t>Miscellaneous Paid-in Capital</t>
  </si>
  <si>
    <t>Capital Stock Expense</t>
  </si>
  <si>
    <t>Appropriated Retained Earnings</t>
  </si>
  <si>
    <t>Appropriated Retained Earn-Amortiz Reserve Federal</t>
  </si>
  <si>
    <t>Retained Earnings</t>
  </si>
  <si>
    <t>Retained Earn-Dividends Forfeited Restrict Stock</t>
  </si>
  <si>
    <t>Retained Earnings-FIN48</t>
  </si>
  <si>
    <t>Retained Earnings-FAS158</t>
  </si>
  <si>
    <t>Retained Earnings Adjustments - Prior Year</t>
  </si>
  <si>
    <t>Retained Earnings Adjustments - Current Year</t>
  </si>
  <si>
    <t>Unappropriated Undistributed Subsidiary Earnings</t>
  </si>
  <si>
    <t>Noncontrolling Interest</t>
  </si>
  <si>
    <t>Comprehensive Income - Other Pretax</t>
  </si>
  <si>
    <t>Comprehensive Income - Other Taxes</t>
  </si>
  <si>
    <t>Comprehensive Income - Pension Pretax</t>
  </si>
  <si>
    <t>Comprehensive Income - Pension Taxes</t>
  </si>
  <si>
    <t>Comprehensive Income - SERP Pretax</t>
  </si>
  <si>
    <t>Comprehensive Income - SERP Taxes</t>
  </si>
  <si>
    <t>Comprehensive Income - FAS106 Pretax</t>
  </si>
  <si>
    <t>Comprehensive Income - FAS106 Taxes</t>
  </si>
  <si>
    <t>Comprehensive Income - Cash Flow Hedges Pretax</t>
  </si>
  <si>
    <t>Comprehensive Income - Cash Flow Hedges Taxes</t>
  </si>
  <si>
    <t>Comprehensive Income - Restoration Ben Plan Pretax</t>
  </si>
  <si>
    <t>Comprehensive Income - Restoration Ben Plan Taxes</t>
  </si>
  <si>
    <t>OCI - Cash Flow Hedges Intercompany Pretax</t>
  </si>
  <si>
    <t>OCI - Cash Flow Hedges Intercompany Taxes</t>
  </si>
  <si>
    <t>Bonds - Recourse - Current</t>
  </si>
  <si>
    <t>Bonds - Non-Recourse - Current</t>
  </si>
  <si>
    <t>Bonds - Recourse - Non-Current</t>
  </si>
  <si>
    <t>Bonds - Non-Recourse - Non-Current</t>
  </si>
  <si>
    <t>Advance Payable Intercompany</t>
  </si>
  <si>
    <t>Advance Payable-Intercompany FASB52</t>
  </si>
  <si>
    <t>Other Long?Term Debt ? Recourse ? Current</t>
  </si>
  <si>
    <t>Other Long-Term Debt - Term Loan - Current</t>
  </si>
  <si>
    <t>Other Long?Term Debt ? Non Recourse ? Current</t>
  </si>
  <si>
    <t>Other Long?Term Debt ? Recourse ? Non?Current</t>
  </si>
  <si>
    <t>Other Long-Term Debt - Term Loan Non-Current</t>
  </si>
  <si>
    <t>Other Long?Term Debt ? Non Recourse ? Non?Current</t>
  </si>
  <si>
    <t>Unamortized Premium Long-term Debt - Recourse</t>
  </si>
  <si>
    <t>Unamortized Premium Long-term Debt - Non-Recourse</t>
  </si>
  <si>
    <t>Unamortized Discount Long-term Debt - Recourse</t>
  </si>
  <si>
    <t>Unamortized Discount Long-term Debt - Non-Recourse</t>
  </si>
  <si>
    <t>Long-term Lease Liability - Operating Lease</t>
  </si>
  <si>
    <t>Long-term Lease Liability - Financing Lease</t>
  </si>
  <si>
    <t>Accumulated Provision for Property Insurance</t>
  </si>
  <si>
    <t>Accum Provision Prop Ins-Storm Reserv-Transmission</t>
  </si>
  <si>
    <t>Accum Provision Prop Ins-Storm Reserv-Distribution</t>
  </si>
  <si>
    <t>I&amp;D General Liability Reserve - Current</t>
  </si>
  <si>
    <t>I&amp;D Workers Compensation Reserve - Current</t>
  </si>
  <si>
    <t>I&amp;D General Liability Reserve</t>
  </si>
  <si>
    <t>I&amp;D Workers Compensation Reserve</t>
  </si>
  <si>
    <t>I&amp;D Reserve - Workers Compensation Payroll</t>
  </si>
  <si>
    <t>I&amp;D Longshore Reserve</t>
  </si>
  <si>
    <t>I&amp;D Gen Liab Expected Recoveries - Current</t>
  </si>
  <si>
    <t>I&amp;D Wrk Comp Expected Recoveries - Current</t>
  </si>
  <si>
    <t>I&amp;D Gen Liab Expected Recoveries - Non-Current</t>
  </si>
  <si>
    <t>I&amp;D Wrk Comp Expected Recoveries - Non-Current</t>
  </si>
  <si>
    <t>Pension Liability - Non-Current</t>
  </si>
  <si>
    <t>Pension Liability FAS158 - Non-Current</t>
  </si>
  <si>
    <t>Pension Asset - Non-Current</t>
  </si>
  <si>
    <t>Pension Asset FAS158 - Non-Current</t>
  </si>
  <si>
    <t>SERP Liability - Non-Current</t>
  </si>
  <si>
    <t>SERP Liability FAS158 - Non-Current</t>
  </si>
  <si>
    <t>Restoration Benefit Plan Liability - Non-Current</t>
  </si>
  <si>
    <t>Restoration Benefit Plan Liab FAS158 - Non-Current</t>
  </si>
  <si>
    <t>FAS106 Liability-Active - Non-Current</t>
  </si>
  <si>
    <t>FAS106 Liability FAS158 - Non-Current</t>
  </si>
  <si>
    <t>FAS106 Liability-Retired - Non-Current</t>
  </si>
  <si>
    <t>FAS106 Asset - Non-Current</t>
  </si>
  <si>
    <t>FAS112 Liab for Long-term Disability - Non-Current</t>
  </si>
  <si>
    <t>Accumulated Miscellaneous Operating Provisions</t>
  </si>
  <si>
    <t>Accum Misc Provision - D&amp;O Litigation</t>
  </si>
  <si>
    <t>Accum Misc Provision - Other Litigation Reserve</t>
  </si>
  <si>
    <t>Accum Misc Provision - Contractor Damage Reserve</t>
  </si>
  <si>
    <t>Accum Misc Provision-Assets Held for Sale - Noncurrent</t>
  </si>
  <si>
    <t>Accumulated Provision for Rate Refunds</t>
  </si>
  <si>
    <t>Asset Retirement Obligations - Short-term</t>
  </si>
  <si>
    <t>Asset Retirement Obligations - Long-term</t>
  </si>
  <si>
    <t>Notes Payable (Borrowings &lt; 1 Year Duration)</t>
  </si>
  <si>
    <t>Notes Payable Non-current</t>
  </si>
  <si>
    <t>AP Vouchers (Do not Post)</t>
  </si>
  <si>
    <t>AP Manual Accruals</t>
  </si>
  <si>
    <t>AP GR/IR Clearing</t>
  </si>
  <si>
    <t>AP P-Card Clearing</t>
  </si>
  <si>
    <t>AP GR/IR Clearing - Translation Gain/Loss</t>
  </si>
  <si>
    <t>AP Employee Expenses (RECON)</t>
  </si>
  <si>
    <t>AP Energy Conservation Allowances</t>
  </si>
  <si>
    <t>AP Payroll</t>
  </si>
  <si>
    <t>AP 401K Fixed Match</t>
  </si>
  <si>
    <t>AP 401K Performance Match</t>
  </si>
  <si>
    <t>AP 401K Employee Contributions</t>
  </si>
  <si>
    <t>AP Stock Purchase Employee Contributions</t>
  </si>
  <si>
    <t>AP PSP / Incentive</t>
  </si>
  <si>
    <t>AP Garnishments (Child Support. Levy. etc.)</t>
  </si>
  <si>
    <t>AP TECO Benefit Association</t>
  </si>
  <si>
    <t>AP Group Life Insurance</t>
  </si>
  <si>
    <t>AP Long-term Care Insurance</t>
  </si>
  <si>
    <t>AP United Fund</t>
  </si>
  <si>
    <t>AP TEPAC</t>
  </si>
  <si>
    <t>AP Fitness Center</t>
  </si>
  <si>
    <t>AP HSA Employee Contribution</t>
  </si>
  <si>
    <t>AP HSA Employer Contribution</t>
  </si>
  <si>
    <t>AP Medical Insurance Reserve - Active Employees</t>
  </si>
  <si>
    <t>AP IBEW Union Dues</t>
  </si>
  <si>
    <t>AP OPEIU Union Dues</t>
  </si>
  <si>
    <t>AP IAM/AU Union Dues</t>
  </si>
  <si>
    <t>AP UFCW Union Dues</t>
  </si>
  <si>
    <t>AP FSA - Medical</t>
  </si>
  <si>
    <t>AP FSA - Dependent Care</t>
  </si>
  <si>
    <t>AP FSA - Parking/Transit</t>
  </si>
  <si>
    <t>AP American Gas Index Fund</t>
  </si>
  <si>
    <t>AP Fuel Accrual</t>
  </si>
  <si>
    <t>AP Bonus 14 (Guatemala)</t>
  </si>
  <si>
    <t>AP Christmas Bonus (Guatemala)</t>
  </si>
  <si>
    <t>AP Inside Line Protection</t>
  </si>
  <si>
    <t>AP Interchange</t>
  </si>
  <si>
    <t>AP Customer Assistance Program</t>
  </si>
  <si>
    <t>AP Vision Benefit Plan</t>
  </si>
  <si>
    <t>AP Plumbing Protect Program</t>
  </si>
  <si>
    <t>AP Consignment Liability</t>
  </si>
  <si>
    <t>AP Miscellaneous Donations</t>
  </si>
  <si>
    <t>AP GR/IR Fuel Clearing</t>
  </si>
  <si>
    <t>AP Payroll - Dividend Clearing</t>
  </si>
  <si>
    <t>AP Manual Accruals FASB52</t>
  </si>
  <si>
    <t>AP Employee Expenses - Translation Gain/Loss</t>
  </si>
  <si>
    <t>AP LTSA - Polk Unit #1</t>
  </si>
  <si>
    <t>AP CSA - Polk Unit #2</t>
  </si>
  <si>
    <t>AP CSA - Polk Unit #3</t>
  </si>
  <si>
    <t>AP CSA - Polk Unit #4</t>
  </si>
  <si>
    <t>AP CSA - Polk Unit #5</t>
  </si>
  <si>
    <t>AP CSA - Bayside #1</t>
  </si>
  <si>
    <t>AP CSA - Bayside #2</t>
  </si>
  <si>
    <t>AP Legacy Materials &amp; Supplies RNB</t>
  </si>
  <si>
    <t>Notes Payable-Intercompany - Current (RECON)</t>
  </si>
  <si>
    <t>Notes Payable-Intercompany-Current (Posting)</t>
  </si>
  <si>
    <t>Notes Payable-EUSHI Interco-Current</t>
  </si>
  <si>
    <t>Notes Payable - Intercompany - Shared STD</t>
  </si>
  <si>
    <t>Notes Payable - Intercompany - Shared LTD</t>
  </si>
  <si>
    <t>Notes Payable-Intercompany - NonCurrent (RECON)</t>
  </si>
  <si>
    <t>Notes Payable-Intercompany-NonCurrent (Posting)</t>
  </si>
  <si>
    <t>Trade Payable-Intercompany (RECON)</t>
  </si>
  <si>
    <t>Trade Payable-Intercompany (Posting)</t>
  </si>
  <si>
    <t>Trade Payable-Intercompany FASB52</t>
  </si>
  <si>
    <t>Trade Payable-Emera Intercompany (RECON)</t>
  </si>
  <si>
    <t>Trade Payable-Emera Intercompany (Posting)</t>
  </si>
  <si>
    <t>Trade Payable-Emera Interco on SAP E410 (RECON)</t>
  </si>
  <si>
    <t>Trade Payable-Emera Interco on SAP E410 (Posting)</t>
  </si>
  <si>
    <t>Interco Payable - CRM - TECO OneBill</t>
  </si>
  <si>
    <t>Interco Payable - CRM - TEC</t>
  </si>
  <si>
    <t>Interco Payable - CRM - PGS</t>
  </si>
  <si>
    <t>Interco Payable - CRM - TPI</t>
  </si>
  <si>
    <t>Trade Payable-Emera Interco Accruals/Reversals</t>
  </si>
  <si>
    <t>CIS Customer Deposits Short-term</t>
  </si>
  <si>
    <t>Non-CIS Customer Deposits Short-term</t>
  </si>
  <si>
    <t>CIS Customer Deposits Long- term</t>
  </si>
  <si>
    <t>Non-CIS Customer Deposits Long-term</t>
  </si>
  <si>
    <t>Income Tax Pay - Federal Current Year</t>
  </si>
  <si>
    <t>Income Tax Pay - Federal Prior Year</t>
  </si>
  <si>
    <t>Income Tax Pay - Federal FIN48 - Non-Current</t>
  </si>
  <si>
    <t>Income Tax Pay - State Current Year</t>
  </si>
  <si>
    <t>Income Tax Pay - State FIN48 - Current</t>
  </si>
  <si>
    <t>Income Tax Pay - State Prior Year</t>
  </si>
  <si>
    <t>Income Tax Pay - State FIN48 - Non-Current</t>
  </si>
  <si>
    <t>Income Tax Pay - Foreign</t>
  </si>
  <si>
    <t>Income Tax Pay - Foreign FIN48 - Current</t>
  </si>
  <si>
    <t>Income Tax Pay - Foreign FIN48 - Non-Current</t>
  </si>
  <si>
    <t>Taxes Payable - Unemployment - Federal</t>
  </si>
  <si>
    <t>Taxes Payable - Unemployment - State</t>
  </si>
  <si>
    <t>Taxes Payable - Regulatory Assessment Fee</t>
  </si>
  <si>
    <t>Taxes Payable - Gross Receipts Tax</t>
  </si>
  <si>
    <t>Taxes Payable - Property Tax</t>
  </si>
  <si>
    <t>Taxes Payable - Franchise Fees</t>
  </si>
  <si>
    <t>Taxes Payable - Federal Excise Tax</t>
  </si>
  <si>
    <t>Taxes Payable - FICA Employr</t>
  </si>
  <si>
    <t>Taxes Payable - State Workers Comp Employer</t>
  </si>
  <si>
    <t>Taxes Payable - Stamp Tax</t>
  </si>
  <si>
    <t>Taxes Payable - Other</t>
  </si>
  <si>
    <t>Interest Payable - FIN48 - Current</t>
  </si>
  <si>
    <t>Interest Payable - FIN48 - Non-Current</t>
  </si>
  <si>
    <t>Interest Accrued on Customer Deposits</t>
  </si>
  <si>
    <t>Interest Accrued on Credit Facility</t>
  </si>
  <si>
    <t>Interest Accrued Long Term Debt</t>
  </si>
  <si>
    <t>Interest Accrued Term Loan Long-Term Debt</t>
  </si>
  <si>
    <t>Interest Payable-Intercompany (RECON)</t>
  </si>
  <si>
    <t>Interest Payable-Intercompany (Posting)</t>
  </si>
  <si>
    <t>Interest Payable- Intercompany - Shared STD</t>
  </si>
  <si>
    <t>Interest Payable- Intercompany - Shared LTD</t>
  </si>
  <si>
    <t>Interest Accrued Miscellaneous</t>
  </si>
  <si>
    <t>Dividends Declared</t>
  </si>
  <si>
    <t>Dividend Payable-Intercompany (RECON)</t>
  </si>
  <si>
    <t>Dividend Payable-Intercompany (Posting)</t>
  </si>
  <si>
    <t>Taxes Payable - Sales Use Tax (CIS)</t>
  </si>
  <si>
    <t>Taxes Payable - Sales Surtax (CIS)</t>
  </si>
  <si>
    <t>AP - VAT Liability - Translation Gain/Loss</t>
  </si>
  <si>
    <t>Taxes Payable - VAT Liability</t>
  </si>
  <si>
    <t>Taxes Payable - VAT Special Invoices</t>
  </si>
  <si>
    <t>AP - VAT Special Invoices</t>
  </si>
  <si>
    <t>AP - VAT Special Invoices - Translation Gain/Loss</t>
  </si>
  <si>
    <t>AP - Withholding Taxes Local</t>
  </si>
  <si>
    <t>AP - Withholding Taxes Foreign</t>
  </si>
  <si>
    <t>Taxes Payable - Sales and Use Tax (AP)</t>
  </si>
  <si>
    <t>Taxes Payable - Sales Surtax (AP)</t>
  </si>
  <si>
    <t>Taxes Payable - Utility Tax</t>
  </si>
  <si>
    <t>Taxes Payable - FICA</t>
  </si>
  <si>
    <t>Taxes Payable - State Workers Comp Employee</t>
  </si>
  <si>
    <t>Taxes Payable - FIT Withholding</t>
  </si>
  <si>
    <t>Taxes Payable - SIT Withholding</t>
  </si>
  <si>
    <t>Taxes Payable  Gross Receipts (AP)</t>
  </si>
  <si>
    <t>Taxes Payable  Franchise Fees (AP)</t>
  </si>
  <si>
    <t>Pension Liability - Current</t>
  </si>
  <si>
    <t>Pension Liability FAS158 - Current</t>
  </si>
  <si>
    <t>SERP Liability - Current</t>
  </si>
  <si>
    <t>SERP Liability FAS158 - Current</t>
  </si>
  <si>
    <t>Resotration Benefit Plan Liability FAS158 - Current</t>
  </si>
  <si>
    <t>FAS106 Liability FAS158 - Current</t>
  </si>
  <si>
    <t>Misc Accru Liab-System Balancing Account</t>
  </si>
  <si>
    <t>Accrued ROW Amortization</t>
  </si>
  <si>
    <t>Misc Accrued Liab - Regulatory Related Current</t>
  </si>
  <si>
    <t>Misc Accru Liab-Assets Held for Sale - Current</t>
  </si>
  <si>
    <t>Long-Term Incentive - Current</t>
  </si>
  <si>
    <t>Deferred Compensation - Current</t>
  </si>
  <si>
    <t>Current Miscellaneous Liabilities</t>
  </si>
  <si>
    <t>Misc Accru Liab - Assets Held for Sale - Non-Current</t>
  </si>
  <si>
    <t>Misc Accru Liab-Vacation Liability</t>
  </si>
  <si>
    <t>Misc Accru Liab-Cashier Over/Short</t>
  </si>
  <si>
    <t>Misc Accru Liab-Unclaimed Funds</t>
  </si>
  <si>
    <t>Misc Accru Liab-PGS MGP Environmental Liability</t>
  </si>
  <si>
    <t>Misc Accru Liab-Provision for Revenue Stipulation</t>
  </si>
  <si>
    <t>Misc Accru Liab-Miscellaneous</t>
  </si>
  <si>
    <t>Short-term Lease Liability - Operating Lease</t>
  </si>
  <si>
    <t>Short-term Lease Liability - Financing Lease</t>
  </si>
  <si>
    <t>Current Derivative Liability</t>
  </si>
  <si>
    <t>Current Derivative Liability - Collateral</t>
  </si>
  <si>
    <t>Long-Term Derivative Liability</t>
  </si>
  <si>
    <t>Current Derivative Liab-Intercompany</t>
  </si>
  <si>
    <t>Non-Current Derivative Liab-Intercompany</t>
  </si>
  <si>
    <t>Customer Advances for Construction</t>
  </si>
  <si>
    <t>Oth Defd CR-Penalty Liability-FIN 48 - Current</t>
  </si>
  <si>
    <t>Deferred Revenue -Contract Liability - Current</t>
  </si>
  <si>
    <t>Contract Retentions - Current (Posting)</t>
  </si>
  <si>
    <t>Oth Defd CR-Penalty Liability-FIN 48 - Non-Current</t>
  </si>
  <si>
    <t>Oth Defd CR-Contract Retentions (RECON)</t>
  </si>
  <si>
    <t>Oth Defd CR-Contract Retentions (Posting)</t>
  </si>
  <si>
    <t>Oth Defd CR-Calpine</t>
  </si>
  <si>
    <t>Oth Defd CR-Renewable</t>
  </si>
  <si>
    <t>Oth Defd CR-Unclaimed Items</t>
  </si>
  <si>
    <t>Oth Defd CR-TE Production Deductions</t>
  </si>
  <si>
    <t>Oth Defd CR-Major Maintenance Accrual</t>
  </si>
  <si>
    <t>Oth Defd CR-SERP Trust - Do Not Use Locked in ECC</t>
  </si>
  <si>
    <t>Oth Defd CR Long-term incentive</t>
  </si>
  <si>
    <t>Oth Defd CR Deferred Compensation</t>
  </si>
  <si>
    <t>Oth Defd CR-Deferred Interest Revenue - GAAP adj</t>
  </si>
  <si>
    <t>Oth Defd CR-Regulatory Related NonCurrent</t>
  </si>
  <si>
    <t>Oth Defd CR-Miscellaneous</t>
  </si>
  <si>
    <t>Oth Reg Liab-Fuel and Purchased Power Clause</t>
  </si>
  <si>
    <t>Oth Reg Liab-Capacity Clause</t>
  </si>
  <si>
    <t>Oth Reg Liab-Conservation Clause</t>
  </si>
  <si>
    <t>Oth Reg Liab-Environmental Clause</t>
  </si>
  <si>
    <t>Oth Reg Liab-Purchased Gas Adjustment Clause</t>
  </si>
  <si>
    <t>Oth Reg Liab-Cast Iron Bare Steel Replacem Rider</t>
  </si>
  <si>
    <t>Oth Reg Liab-Surcharge Rider (RR14)</t>
  </si>
  <si>
    <t>Oth Reg Liab-Weather Norm OverRcv Resid-Cur</t>
  </si>
  <si>
    <t>Oth Reg Liab-Weather Norm OverRcv Comm-Cur</t>
  </si>
  <si>
    <t>Oth Reg Liability-Storm Protection Clause</t>
  </si>
  <si>
    <t>Current Derivative Liability - Regulatory</t>
  </si>
  <si>
    <t>Oth Reg Liab-FERC Wholesale (AFUDC)-Current</t>
  </si>
  <si>
    <t>Oth Reg Liab-Defd Gain Prop Sales-Current</t>
  </si>
  <si>
    <t>Long-Term Derivative Liability - Regulatory</t>
  </si>
  <si>
    <t>Oth Reg Liab-FERC Wholesale (AFUDC)-Non-Current</t>
  </si>
  <si>
    <t>Oth Reg Liab - (CETM) Clean Energy Trans Mech NC</t>
  </si>
  <si>
    <t>Oth Reg Liab-Defd Gain Prop Sales-NonCurrent</t>
  </si>
  <si>
    <t>Oth Reg Liab-Deferred Aerial Survey Adjustments</t>
  </si>
  <si>
    <t>Oth Reg Liab-Deferred Allowance Auction Credits</t>
  </si>
  <si>
    <t>Oth Reg Liab-Gas Research Regulatory Liability</t>
  </si>
  <si>
    <t>Oth Reg Liab-TIMP Accrual - Current</t>
  </si>
  <si>
    <t>Oth Reg Liab-MGP Environmental Remediation</t>
  </si>
  <si>
    <t>Oth Reg Liab-Acquistion Liability Current</t>
  </si>
  <si>
    <t>Oth Reg Liab-Acquistion Liability - NonCurrent</t>
  </si>
  <si>
    <t>Oth Reg Liab-Gas Off-System Sales Margin</t>
  </si>
  <si>
    <t>Oth Reg Liab-El Paso Natural Gas Refund</t>
  </si>
  <si>
    <t>Oth Reg Liab-Storage / Transp Optimization - Current</t>
  </si>
  <si>
    <t>Oth Reg Liab-Utility Energy Service Contracts</t>
  </si>
  <si>
    <t>Oth Reg Liab-COVID-19 Relief Fund</t>
  </si>
  <si>
    <t>Oth Reg Liab-FAS 109 Income Tax</t>
  </si>
  <si>
    <t>Oth Reg Liab-Deferred Tax Reform Impact Current</t>
  </si>
  <si>
    <t>Oth Reg Liab-FAS 109 Income Tax Current</t>
  </si>
  <si>
    <t>Oth Reg Liab-Miscellaneous</t>
  </si>
  <si>
    <t>Accumulated Deferred Investment Tax Credits</t>
  </si>
  <si>
    <t>Accumulated Defd Investment Tax Credit Non Utility</t>
  </si>
  <si>
    <t>Deferred Gains From Disposition of Utility Plant</t>
  </si>
  <si>
    <t>Unamortized Gain on Reacquired Debt</t>
  </si>
  <si>
    <t>Defd Inc Tax Other Property - Federal</t>
  </si>
  <si>
    <t>Defd Inc Tax Other Property - Federal Non Utility</t>
  </si>
  <si>
    <t>Defd Inc Tax Other Property - State</t>
  </si>
  <si>
    <t>Defd Inc Tax Other Property - State Non Utility</t>
  </si>
  <si>
    <t>Defd Inc Tax Other Property - FAS109</t>
  </si>
  <si>
    <t>DIT Liab-Current</t>
  </si>
  <si>
    <t>DIT Liab-Federal</t>
  </si>
  <si>
    <t>DIT Liab-Federal Non Utility</t>
  </si>
  <si>
    <t>DIT Liab - Estimated NOL - Federal</t>
  </si>
  <si>
    <t>DIT Liab -Tax Allocation - Federal</t>
  </si>
  <si>
    <t>DIT Liab-FAS 158 - Federal</t>
  </si>
  <si>
    <t>DIT Liab-FAS 158 - Medicare Part D - Federal</t>
  </si>
  <si>
    <t>DIT Liab-FAS 133 - Federal</t>
  </si>
  <si>
    <t>DIT Liab-State</t>
  </si>
  <si>
    <t>DIT Liab-State Non Utility</t>
  </si>
  <si>
    <t>DIT Liab-Estimated NOL - State</t>
  </si>
  <si>
    <t>DIT Liab-Tax Allocation - State</t>
  </si>
  <si>
    <t>DIT Liab-FAS 158 - State</t>
  </si>
  <si>
    <t>DIT Liab-FAS 158 - Medicare Part D - State</t>
  </si>
  <si>
    <t>DIT Liab-FAS 133 - State</t>
  </si>
  <si>
    <t>DIT Liab-Foreign</t>
  </si>
  <si>
    <t>DIT Liab-Federal - State NOL</t>
  </si>
  <si>
    <t>DIT Liab-FAS109 - Other</t>
  </si>
  <si>
    <t>DIT Liab-Other Gross Up Medicare Part D</t>
  </si>
  <si>
    <t>REG DR Defd Capacity - Amortization</t>
  </si>
  <si>
    <t>REG DR Defd Conservation  Elec - Amortization</t>
  </si>
  <si>
    <t>REG DR Defd Environmental  - Amortization</t>
  </si>
  <si>
    <t>REG DR Defd Environmental Tax Credit</t>
  </si>
  <si>
    <t>REG DR Defd Purchased Gas Adjustment</t>
  </si>
  <si>
    <t>REG DR Defd PGA - Amortization</t>
  </si>
  <si>
    <t>REG DR CI/BS Rider</t>
  </si>
  <si>
    <t>REG DR Defd CIBSR - Amortization</t>
  </si>
  <si>
    <t>REG DR Defd SPPCRC – Amortization</t>
  </si>
  <si>
    <t>REG DR Defd Conservation - Gas</t>
  </si>
  <si>
    <t>REG DR Defd Conservation - Gas - Amortization</t>
  </si>
  <si>
    <t>REG DR FERC Wholesale (AFUDC)</t>
  </si>
  <si>
    <t>REG CR Defd Fuel and Purchased Power  - Amortiz</t>
  </si>
  <si>
    <t>REG CR Defd Purchased Gas Adjustment</t>
  </si>
  <si>
    <t>REG CR Defd PGA - Amortization</t>
  </si>
  <si>
    <t>REG CR Defd CI/BSR Rider</t>
  </si>
  <si>
    <t>REG CR Defd CIBSR - Amortization</t>
  </si>
  <si>
    <t>REG CR Defd IMP Regulatory Credits</t>
  </si>
  <si>
    <t>REG CR Defd COVID-19</t>
  </si>
  <si>
    <t>REG CR Defd Conservation - Gas</t>
  </si>
  <si>
    <t>REG CR Defd Conservation - Gas - Amortiz</t>
  </si>
  <si>
    <t>REG CR Deferred PBOP FAS106</t>
  </si>
  <si>
    <t>REG CR Tax Reform</t>
  </si>
  <si>
    <t>SO2 Allowance Sales - Wholesale</t>
  </si>
  <si>
    <t>NOX Allowance Sales - Retail</t>
  </si>
  <si>
    <t>NOX Allowance Sales - Wholesale</t>
  </si>
  <si>
    <t>REC Sales - Wholesale</t>
  </si>
  <si>
    <t>Environmental ROI</t>
  </si>
  <si>
    <t>GPIF</t>
  </si>
  <si>
    <t>Line Loss</t>
  </si>
  <si>
    <t>Recoverable Conservation Benefit</t>
  </si>
  <si>
    <t>Recoverable ECRC (Environmental O&amp;M expense)</t>
  </si>
  <si>
    <t>Revenues from Gas Plant leased to Others</t>
  </si>
  <si>
    <t>Revenues from Gas Plant leased to Others-GAAP adj</t>
  </si>
  <si>
    <t>Rev from Gas Plant leased-Interest Earned GAAP</t>
  </si>
  <si>
    <t>Commercial Small Optional Billing Provision</t>
  </si>
  <si>
    <t>Industrial-Phosphate Small Franchise Revenue</t>
  </si>
  <si>
    <t>Industrial-Phosphate Small Optional Billing Provsn</t>
  </si>
  <si>
    <t>Industrial-Phosphate Large Franchise Revenue</t>
  </si>
  <si>
    <t>Industrial-Other Small Optional Billing Provision</t>
  </si>
  <si>
    <t>Retail Sale - Electric Public Street Lighting</t>
  </si>
  <si>
    <t>Number of Customers - Electric Public Street Lighting</t>
  </si>
  <si>
    <t>Oth Sales Public Authority Optional Billing Provsn</t>
  </si>
  <si>
    <t>Recoverable Wholesale Non-Separated Sales for Resale</t>
  </si>
  <si>
    <t>Non-Recoverable Wholesale Non-Separated for Resale</t>
  </si>
  <si>
    <t>Recoverable Wholesale Non-Sep Sales Resale_Margin</t>
  </si>
  <si>
    <t>P/R Separated Sales for Resale - Fuel</t>
  </si>
  <si>
    <t>P/R Separated Sales for Resale - Non-Fuel</t>
  </si>
  <si>
    <t>Separated D Sale - Retail Fuel</t>
  </si>
  <si>
    <t>Separated D Sale - Wholesale Fuel</t>
  </si>
  <si>
    <t>Separated D Sale - Wholesale Non-Fuel</t>
  </si>
  <si>
    <t>GSI Sales - Retail</t>
  </si>
  <si>
    <t>GSI Sales - Wholesale</t>
  </si>
  <si>
    <t>Interchange Sales - Other</t>
  </si>
  <si>
    <t>Residential Provision for Refund</t>
  </si>
  <si>
    <t>Commercial Provision for Refund</t>
  </si>
  <si>
    <t>Industrial-Phosphate Provision for Refund</t>
  </si>
  <si>
    <t>Industrial-Other Provision for Refund</t>
  </si>
  <si>
    <t>Public Street HW Lighting Provision for Refund</t>
  </si>
  <si>
    <t>Oth Sales to Public Authority Provision for Refund</t>
  </si>
  <si>
    <t>Provision for Rate Refund - Requirements</t>
  </si>
  <si>
    <t>Provision for Rate Refund - Transmission</t>
  </si>
  <si>
    <t>Provision for Rate Refund - Clause</t>
  </si>
  <si>
    <t>Forfeited Discounts</t>
  </si>
  <si>
    <t>Misc Svc Rev - Bill Copies (977)</t>
  </si>
  <si>
    <t>Misc Svc Rev - Bill Copies (978)</t>
  </si>
  <si>
    <t>Rental Revenue - Miscellaneous</t>
  </si>
  <si>
    <t>Rental Revenue - Pole Attachments - Transmission</t>
  </si>
  <si>
    <t>Rental Revenue - Other Property</t>
  </si>
  <si>
    <t>Other Revenue - Cost Plus Job Orders</t>
  </si>
  <si>
    <t>Other Revenue - Cosmos Affiliate Revenue Fixed Cap</t>
  </si>
  <si>
    <t>Other Revenue - Cosmos Division Revenue Fixed Cap</t>
  </si>
  <si>
    <t>Other Revenue - Parking</t>
  </si>
  <si>
    <t>Other Revenue - Cogen Maintenance - Distribution</t>
  </si>
  <si>
    <t>Other Revenue - BERS - Bldg Energy</t>
  </si>
  <si>
    <t>Other Revenue - Wheeling</t>
  </si>
  <si>
    <t>Other Revenue - Metro Link Job Orders</t>
  </si>
  <si>
    <t>Other Revenue - Exhaust Heat</t>
  </si>
  <si>
    <t>Other Revenue - UMG Services - Big Bend Station</t>
  </si>
  <si>
    <t>Other Revenue - FGT Phase VIII Project Sale</t>
  </si>
  <si>
    <t>Other Revenue - FGT Walker Rd &amp; Bayside Amort</t>
  </si>
  <si>
    <t>Other Revenue - Comprehensive C/I Audit</t>
  </si>
  <si>
    <t>Other Lighting Revenue - Regulated</t>
  </si>
  <si>
    <t>OATT Ancillary Reactive Revenue</t>
  </si>
  <si>
    <t>Pt to Pt Transmission Separated Sales</t>
  </si>
  <si>
    <t>Pt to Pt Transmission - Separated D Sales</t>
  </si>
  <si>
    <t>Ancillary Scheduling Separated Sales</t>
  </si>
  <si>
    <t>Pt to Pt Transmission Non Separated Sale-Wholesale</t>
  </si>
  <si>
    <t>Ancillary Transmission Non Separated-Wholesale</t>
  </si>
  <si>
    <t>Unused Pt to Pt Transm Non Separated-Retail</t>
  </si>
  <si>
    <t>Unused Pt to Pt Transm Non Separated-Wholesale</t>
  </si>
  <si>
    <t>Unused Ancillary Transm Non Separated-Retail</t>
  </si>
  <si>
    <t>Unused Ancillary Transm Non Separated-Wholesale</t>
  </si>
  <si>
    <t>Other Revenue - Slag</t>
  </si>
  <si>
    <t>Other Revenue - Fly Ash</t>
  </si>
  <si>
    <t>Other Revenue - Sulfuric Acid</t>
  </si>
  <si>
    <t>Other Revenue - Gypsum ECRC</t>
  </si>
  <si>
    <t>Other Revenue - Beneficiated Ash</t>
  </si>
  <si>
    <t>Interco Svc Company Revenue-Direct Costs</t>
  </si>
  <si>
    <t>Interco Svc Company Revenue-Indirect Costs</t>
  </si>
  <si>
    <t>Svc Company Revenue-Non-Assoc Co-Direct Costs</t>
  </si>
  <si>
    <t>Energy Revenues</t>
  </si>
  <si>
    <t>Capacity Revenues</t>
  </si>
  <si>
    <t>Fixed O&amp;M Revenue</t>
  </si>
  <si>
    <t>Variable O&amp;M Revenue</t>
  </si>
  <si>
    <t>Fuel Administration Revenue</t>
  </si>
  <si>
    <t>Operation Range Adjustment Revenue</t>
  </si>
  <si>
    <t>Fuel Adjustment Revenue</t>
  </si>
  <si>
    <t>Expense Reimb - Coal Tax Revenue</t>
  </si>
  <si>
    <t>Spot Market Sales</t>
  </si>
  <si>
    <t>Deferred Revenues</t>
  </si>
  <si>
    <t>Coal Services</t>
  </si>
  <si>
    <t>Fuel Services</t>
  </si>
  <si>
    <t>Intercompany Fee</t>
  </si>
  <si>
    <t>Intercompany Expense Reimbursement</t>
  </si>
  <si>
    <t>Marketing Program Revenues</t>
  </si>
  <si>
    <t>Gas Management Fees</t>
  </si>
  <si>
    <t>Nonregulated Gas Revenue</t>
  </si>
  <si>
    <t>Alternative Fuels Consulting Fees</t>
  </si>
  <si>
    <t>Public Fuel Revenue</t>
  </si>
  <si>
    <t>Private Fuel Revenue</t>
  </si>
  <si>
    <t>Other Unregulated Revenue</t>
  </si>
  <si>
    <t>Contributions</t>
  </si>
  <si>
    <t>In-Kind Contributions</t>
  </si>
  <si>
    <t>Residential - 1</t>
  </si>
  <si>
    <t>Residential - 1 FUEL</t>
  </si>
  <si>
    <t>Residential - 2</t>
  </si>
  <si>
    <t>Residential - 2 FUEL</t>
  </si>
  <si>
    <t>Residential - 3</t>
  </si>
  <si>
    <t>Residential - 3 FUEL</t>
  </si>
  <si>
    <t>Residential Stand By Generator</t>
  </si>
  <si>
    <t>Residential Stand By Generator FUEL</t>
  </si>
  <si>
    <t>Residential Gas Heat Pump</t>
  </si>
  <si>
    <t>Residential Gas Heat Pump FUEL</t>
  </si>
  <si>
    <t>Residential General Service 1</t>
  </si>
  <si>
    <t>Residential General Service 1 FUEL</t>
  </si>
  <si>
    <t>Residential General Service 2</t>
  </si>
  <si>
    <t>Residential General Service 2 FUEL</t>
  </si>
  <si>
    <t>Residential General Service 3</t>
  </si>
  <si>
    <t>Residential General Service 3 FUEL</t>
  </si>
  <si>
    <t>Residential Sales-Base</t>
  </si>
  <si>
    <t>Residential Sales-Fuel</t>
  </si>
  <si>
    <t>Residential Sales-Energy Conservation</t>
  </si>
  <si>
    <t>Residential Sales-TECO Credit</t>
  </si>
  <si>
    <t>Natural Gas Vehicles</t>
  </si>
  <si>
    <t>Natural Gas Vehicles FUEL</t>
  </si>
  <si>
    <t>Commercial Street Lighting</t>
  </si>
  <si>
    <t>Commercial Street Lighting FUEL</t>
  </si>
  <si>
    <t>General Service Small</t>
  </si>
  <si>
    <t>General Service Small FUEL</t>
  </si>
  <si>
    <t>Commercial Gas Heat Pump</t>
  </si>
  <si>
    <t>Commercial Gas Heat Pump FUEL</t>
  </si>
  <si>
    <t>Commercial Standby Generator</t>
  </si>
  <si>
    <t>Commercial Standby Generator FUEL</t>
  </si>
  <si>
    <t>General Service Large Vol. 1</t>
  </si>
  <si>
    <t>General Service Large Vol. 1 FUEL</t>
  </si>
  <si>
    <t>General Service Large Vol. 2</t>
  </si>
  <si>
    <t>General Service Large Vol. 2 FUEL</t>
  </si>
  <si>
    <t>General Service Large Vol. 3</t>
  </si>
  <si>
    <t>General Service Large 3 FUEL</t>
  </si>
  <si>
    <t>General Service Large Vol. 4</t>
  </si>
  <si>
    <t>General Service Large Vol. 4 FUEL</t>
  </si>
  <si>
    <t>General Service Large Vol. 5</t>
  </si>
  <si>
    <t>General Service Large Vol. 5 FUEL</t>
  </si>
  <si>
    <t>Interruptible Service Small</t>
  </si>
  <si>
    <t>Interruptible Service Small FUEL</t>
  </si>
  <si>
    <t>Interruptible Service Large Vol. 1</t>
  </si>
  <si>
    <t>Interruptible Service Large Vol. 1 FUEL</t>
  </si>
  <si>
    <t>Interruptible Service Large Vol. 2</t>
  </si>
  <si>
    <t>Interruptible Service Large Vol. 2 FUEL</t>
  </si>
  <si>
    <t>Interruptible Contract Service</t>
  </si>
  <si>
    <t>Interruptible Contract Service Fuel</t>
  </si>
  <si>
    <t>Comercial Sales - Base</t>
  </si>
  <si>
    <t>Industrial Sales - COG</t>
  </si>
  <si>
    <t>Industrial Sales - TECO Credit</t>
  </si>
  <si>
    <t>Comercial Sales - Fuel</t>
  </si>
  <si>
    <t>Irrigation Sales - COG</t>
  </si>
  <si>
    <t>Irrigation Sales - TECO Credit</t>
  </si>
  <si>
    <t>Commercial Sales-Energy Conservation</t>
  </si>
  <si>
    <t>Commercial Sales-Teco Credit</t>
  </si>
  <si>
    <t>Industrial Sales - Base</t>
  </si>
  <si>
    <t>Industrial Sales - Fuel</t>
  </si>
  <si>
    <t>Industrial Sales-Energy Conservation</t>
  </si>
  <si>
    <t>Industrial Sales-TECO Credit</t>
  </si>
  <si>
    <t>Mutually Beneficial (to PGA) - Non RP Reseller</t>
  </si>
  <si>
    <t>Mutually Beneficial (to PGA) - Non RP End User</t>
  </si>
  <si>
    <t>Mutually Beneficial (to PGA) - Reciept Point</t>
  </si>
  <si>
    <t>Off System Sales (to PGA) - Non RP Reseller</t>
  </si>
  <si>
    <t>Off System Sales (to PGA) - Non RP End User</t>
  </si>
  <si>
    <t>Off System Sales (to PGA) - Receipt Point</t>
  </si>
  <si>
    <t>Off System Sales (margin) - Non RP Reseller</t>
  </si>
  <si>
    <t>Off System Sales (margin) - Non RP End User</t>
  </si>
  <si>
    <t>Off System Sales (margin) - Receipt Point</t>
  </si>
  <si>
    <t>Off System Sales - Intercompany</t>
  </si>
  <si>
    <t>Public Authority Sales - Margin</t>
  </si>
  <si>
    <t>Public Authority Sales - COG</t>
  </si>
  <si>
    <t>Public Authority Sales - TECO Credit</t>
  </si>
  <si>
    <t>Public Authority Sales-Fuel</t>
  </si>
  <si>
    <t>Public Authority Sales-Energy Conservation</t>
  </si>
  <si>
    <t>Public Authority Sales-TECO Credit</t>
  </si>
  <si>
    <t>Wholesale Sales for Resale</t>
  </si>
  <si>
    <t>Wholesale Sales for Resale FUEL</t>
  </si>
  <si>
    <t>On-System Sales for Resale - Base</t>
  </si>
  <si>
    <t>On-System Sales for Resale - Fuel</t>
  </si>
  <si>
    <t>On-System Sales for Resale - TECO Credit</t>
  </si>
  <si>
    <t>Off-System Sales for Resale</t>
  </si>
  <si>
    <t>Transportation Imbalance Penalties</t>
  </si>
  <si>
    <t>Wholesale Sales for Resale Transportation</t>
  </si>
  <si>
    <t>Wholesale Transportation Service - Swing</t>
  </si>
  <si>
    <t>Company Use Sales - Base</t>
  </si>
  <si>
    <t>Company Use Sales - Fuel</t>
  </si>
  <si>
    <t>Company Use Sales - TECO Credit</t>
  </si>
  <si>
    <t>Misc Svc Rev - Residential Connect/Reconnect</t>
  </si>
  <si>
    <t>Misc Svc Rev - Commercial Connect/Reconnect</t>
  </si>
  <si>
    <t>Misc Svc Rev - Change Out</t>
  </si>
  <si>
    <t>Misc Svc Rev - Trip Charge</t>
  </si>
  <si>
    <t>Misc Svc Rev - NSF Fee</t>
  </si>
  <si>
    <t>Misc Svc Rev - Failed Trip Charge</t>
  </si>
  <si>
    <t>Misc Svc Rev - Temporary Disconnect</t>
  </si>
  <si>
    <t>Misc Svc Rev - Billing Adjustment (Gas)</t>
  </si>
  <si>
    <t>Misc Svc Rev - ITS Fee</t>
  </si>
  <si>
    <t>Misc Svc Rev - NGVS-2 Facilities Charge</t>
  </si>
  <si>
    <t>FIRM Service - Usage</t>
  </si>
  <si>
    <t>FIRM Service - Reservation</t>
  </si>
  <si>
    <t>Transport - Trans Residential - Base</t>
  </si>
  <si>
    <t>Transport - Trans Residential - Access Fee</t>
  </si>
  <si>
    <t>Transport - Trans Residential - Negotiated</t>
  </si>
  <si>
    <t>Transport - Trans Residential - Del. Pt. Fee</t>
  </si>
  <si>
    <t>Transport - Trans Residential - Market</t>
  </si>
  <si>
    <t>Transport - Trans Residential - Tariff</t>
  </si>
  <si>
    <t>Transport - Trans Residential - Rec. Pt. Fee</t>
  </si>
  <si>
    <t>Transport - Trans Residential - Svc Fee</t>
  </si>
  <si>
    <t>Transport - Trans Residential - Other</t>
  </si>
  <si>
    <t>Transport - Trans Residential - Fuel</t>
  </si>
  <si>
    <t>Transport - Trans Residential - TECO Credit</t>
  </si>
  <si>
    <t>Transport - Trans Commercial - Base</t>
  </si>
  <si>
    <t>Transport - Trans Commercial - Access Fee</t>
  </si>
  <si>
    <t>Transport - Trans Commercial - Negotiated</t>
  </si>
  <si>
    <t>Transport - Trans Commercial - Del. Pt. Fee</t>
  </si>
  <si>
    <t>Transport - Trans Commercial - Market</t>
  </si>
  <si>
    <t>Transport - Trans Commercial - Tariff</t>
  </si>
  <si>
    <t>Transport - Trans Commercial - Rec. Pt. Fee</t>
  </si>
  <si>
    <t>Transport - Trans Commercial - Svc Fee</t>
  </si>
  <si>
    <t>Transport - Trans Commercial - Other</t>
  </si>
  <si>
    <t>Transport - Trans Commercial - Fuel</t>
  </si>
  <si>
    <t>Transport - Trans Commercial - TECO Credit</t>
  </si>
  <si>
    <t>Transport - Trans Industrial - Base</t>
  </si>
  <si>
    <t>Transport - Trans Industrial - Access Fee</t>
  </si>
  <si>
    <t>Transport - Trans Industrial - Negotiated</t>
  </si>
  <si>
    <t>Transport - Trans Industrial - Del. Pt. Fee</t>
  </si>
  <si>
    <t>Transport - Trans Industrial - Market</t>
  </si>
  <si>
    <t>Transport - Trans Industrial - Tariff</t>
  </si>
  <si>
    <t>Transport - Trans Industrial - Rec. Pt. Fee</t>
  </si>
  <si>
    <t>Transport - Trans Industrial - Svc Fee</t>
  </si>
  <si>
    <t>Transport - Trans Industrial - Other</t>
  </si>
  <si>
    <t>Transport - Trans Industrial - Fuel</t>
  </si>
  <si>
    <t>Transport - Trans Industrial - TECO Credit</t>
  </si>
  <si>
    <t>Transport - Trans Public Authority - Base</t>
  </si>
  <si>
    <t>Transport - Trans Public Authority - Access Fee</t>
  </si>
  <si>
    <t>Transport - Trans Public Authority - Negotiated</t>
  </si>
  <si>
    <t>Transport - Trans Public Authority - Del. Pt. Fee</t>
  </si>
  <si>
    <t>Transport - Trans Public Authority - Market</t>
  </si>
  <si>
    <t>Transport - Trans Public Authority - Tariff</t>
  </si>
  <si>
    <t>Transport - Trans Public Authority - Rec. Pt. Fee</t>
  </si>
  <si>
    <t>Transport - Trans Public Authority - Svc Fee</t>
  </si>
  <si>
    <t>Transport - Trans Public Authority - Other</t>
  </si>
  <si>
    <t>Transport - Trans Public Authority - Fuel</t>
  </si>
  <si>
    <t>Transport - Trans Public Authority - TECO Credit</t>
  </si>
  <si>
    <t>Transport - Trans Sales for Resale - Base</t>
  </si>
  <si>
    <t>Transport - Trans Sales for Resale - Access Fee</t>
  </si>
  <si>
    <t>Transport - Trans Sales for Resale - Negotiated</t>
  </si>
  <si>
    <t>Transport - Trans Sales for Resale - Del. Pt. Fee</t>
  </si>
  <si>
    <t>Transport - Trans Sales for Resale - Market</t>
  </si>
  <si>
    <t>Transport - Trans Sales for Resale - Tariff</t>
  </si>
  <si>
    <t>Transport - Trans Sales for Resale - Rec. Pt. Fee</t>
  </si>
  <si>
    <t>Transport - Trans Sales for Resale - Svc Fee</t>
  </si>
  <si>
    <t>Transport - Trans Sales for Resale - Other</t>
  </si>
  <si>
    <t>Transport - Trans Sales for Resale - Fuel</t>
  </si>
  <si>
    <t>Transport - Trans Sales for Resale - TECO Credit</t>
  </si>
  <si>
    <t>Natural Gas Vehicle Sales Transportation</t>
  </si>
  <si>
    <t>Natural Gas Vehicle Sales Transportation-Swing</t>
  </si>
  <si>
    <t>Commercial Street Lighting Transportation</t>
  </si>
  <si>
    <t>Commercial Street Lighting Transportation-Swing</t>
  </si>
  <si>
    <t>General Service Small Transportation</t>
  </si>
  <si>
    <t>General Service Small Transportation-Swing</t>
  </si>
  <si>
    <t>Commercial Gas Heat Pump Transportation</t>
  </si>
  <si>
    <t>Commercial Gas Heat Pump Transportation-Swing</t>
  </si>
  <si>
    <t>Commercial Transportation Standby Generator</t>
  </si>
  <si>
    <t>Commercial Transportation Standby Generator-Swing</t>
  </si>
  <si>
    <t>Residential Transportation Gas Heat Pump</t>
  </si>
  <si>
    <t>Residential Transportation Gas Heat Pump-Swing</t>
  </si>
  <si>
    <t>Residential Transportation General Service 1</t>
  </si>
  <si>
    <t>Residential Transportation General Service 1-Swing</t>
  </si>
  <si>
    <t>Residential Transportation General Service 2</t>
  </si>
  <si>
    <t>Residential Transportation General Service 2-Swing</t>
  </si>
  <si>
    <t>Residential Transportation General Service 3</t>
  </si>
  <si>
    <t>Residential Transportation General Service 3-Swing</t>
  </si>
  <si>
    <t>General Service Large Vol. 1 Transportation</t>
  </si>
  <si>
    <t>General Service Large Vol. 1 Transportation-Swing</t>
  </si>
  <si>
    <t>General Service Large Vol. 2 Transportation</t>
  </si>
  <si>
    <t>General Service Large Vol. 2 Transportation-Swing</t>
  </si>
  <si>
    <t>General Service Large Vol. 3 Transportation</t>
  </si>
  <si>
    <t>General Service Large Vol. 3 Transportation-Swing</t>
  </si>
  <si>
    <t>General Service Large Vol. 4 Transportation</t>
  </si>
  <si>
    <t>General Service Large Vol. 4 Transportation-Swing</t>
  </si>
  <si>
    <t>General Service Large Vol. 5 Transportation</t>
  </si>
  <si>
    <t>General Service Large Vol. 5 Transportation-Swing</t>
  </si>
  <si>
    <t>Interruptible Service Small Transportation</t>
  </si>
  <si>
    <t>Interruptible Service Large Vol. 1 Transportation</t>
  </si>
  <si>
    <t>Interruptible Service Large Vol. 2 Transportation</t>
  </si>
  <si>
    <t>Intrpt Con Svc Tmsp</t>
  </si>
  <si>
    <t>Transport - Distr Residential - Base</t>
  </si>
  <si>
    <t>Transport - Distr Residential - Access Fee</t>
  </si>
  <si>
    <t>Transport - Distr Residential - Negotiated</t>
  </si>
  <si>
    <t>Transport - Distr Residential - Del. Pt. Fee</t>
  </si>
  <si>
    <t>Transport - Distr Residential - Standby</t>
  </si>
  <si>
    <t>Transport - Distr Residential - Contract Fee</t>
  </si>
  <si>
    <t>Transport - Distr Residential - Rec. Pt. Fee</t>
  </si>
  <si>
    <t>Transport - Distr Residential - Meter Fee</t>
  </si>
  <si>
    <t>Transport - Distr Residential - Fuel</t>
  </si>
  <si>
    <t>Transport - Distr Residential - TECO Credit</t>
  </si>
  <si>
    <t>Transport - Distr Commercial - Base</t>
  </si>
  <si>
    <t>Transport - Distr Commercial - Access Fee</t>
  </si>
  <si>
    <t>Transport - Distr Commercial - Negotiated</t>
  </si>
  <si>
    <t>Transport - Distr Commercial - Del. Pt. Fee</t>
  </si>
  <si>
    <t>Transport - Distr Commercial - Standby</t>
  </si>
  <si>
    <t>Transport - Distr Commercial - Contract Fee</t>
  </si>
  <si>
    <t>Transport - Distr Commercial - Rec. Pt. Fee</t>
  </si>
  <si>
    <t>Transport - Distr Commercial - Meter Fee</t>
  </si>
  <si>
    <t>Transport - Distr Commercial - Fuel</t>
  </si>
  <si>
    <t>Transport - Distr Commercial - TECO Credit</t>
  </si>
  <si>
    <t>Transport - Distr Industrial - Base</t>
  </si>
  <si>
    <t>Transport - Distr Industrial - Access Fee</t>
  </si>
  <si>
    <t>Transport - Distr Industrial - Negotiated</t>
  </si>
  <si>
    <t>Transport - Distr Industrial - Del. Pt. Fee</t>
  </si>
  <si>
    <t>Transport - Distr Industrial - Standby</t>
  </si>
  <si>
    <t>Transport - Distr Industrial - Contract Fee</t>
  </si>
  <si>
    <t>Transport - Distr Industrial - Rec. Pt. Fee</t>
  </si>
  <si>
    <t>Transport - Distr Industrial - Meter Fee</t>
  </si>
  <si>
    <t>Transport - Distr Industrial - Fuel</t>
  </si>
  <si>
    <t>Transport - Distr Industrial - TECO Credit</t>
  </si>
  <si>
    <t>Transport - Distr Public Authority - Base</t>
  </si>
  <si>
    <t>Transport - Distr Public Authority - Access Fee</t>
  </si>
  <si>
    <t>Transport - Distr Public Authority - Negotiated</t>
  </si>
  <si>
    <t>Transport - Distr Public Authority - Del. Pt. Fee</t>
  </si>
  <si>
    <t>Transport - Distr Public Authority - Standby</t>
  </si>
  <si>
    <t>Transport - Distr Public Authority - Contract Fee</t>
  </si>
  <si>
    <t>Transport - Distr Public Authority - Rec. Pt. Fee</t>
  </si>
  <si>
    <t>Transport - Distr Public Authority - Meter Fee</t>
  </si>
  <si>
    <t>Transport - Distr Public Authority - Fuel</t>
  </si>
  <si>
    <t>Transport - Distr Public Authority - TECO Credit</t>
  </si>
  <si>
    <t>Transport - Distr Sales for Resale - Base</t>
  </si>
  <si>
    <t>Transport - Distr Sales for Resale - Access Fee</t>
  </si>
  <si>
    <t>Transport - Distr Sales for Resale - Negotiated</t>
  </si>
  <si>
    <t>Transport - Distr Sales for Resale - Del. Pt. Fee</t>
  </si>
  <si>
    <t>Transport - Distr Sales for Resale - Standby</t>
  </si>
  <si>
    <t>Transport - Distr Sales for Resale - Contract Fee</t>
  </si>
  <si>
    <t>Transport - Distr Sales for Resale - Rec. Pt. Fee</t>
  </si>
  <si>
    <t>Transport - Distr Sales for Resale - Meter Fee</t>
  </si>
  <si>
    <t>Transport - Distr Sales for Resale - Fuel</t>
  </si>
  <si>
    <t>Transport - Distr Sales for Resale - TECO Credit</t>
  </si>
  <si>
    <t>Rent Revenue</t>
  </si>
  <si>
    <t>Rent Revenue - Intercompany</t>
  </si>
  <si>
    <t>Other Revenues - Energy Conservation</t>
  </si>
  <si>
    <t>Other Revenues - Franchise Fees</t>
  </si>
  <si>
    <t>Other Revenues - Gross Receipts</t>
  </si>
  <si>
    <t>Other Revenues - Commission on Sales Tax</t>
  </si>
  <si>
    <t>Other Revenues - Pool Mgr History Fee</t>
  </si>
  <si>
    <t>Other Revenues - Pool Mgr Administration Fee</t>
  </si>
  <si>
    <t>Other Revenues - Pool Manager Change Fee</t>
  </si>
  <si>
    <t>Other Revenues - Termination Fee</t>
  </si>
  <si>
    <t>Other Revenues - Fl Gas Utility</t>
  </si>
  <si>
    <t>Other Revenues - Supplier FTA</t>
  </si>
  <si>
    <t>Other Revenues - Hardee Maintenance</t>
  </si>
  <si>
    <t>Other Revenues - Storm Recovery</t>
  </si>
  <si>
    <t>Other Revenues - Daily Overage Usage Charge</t>
  </si>
  <si>
    <t>CI/BSR Rider Revenue</t>
  </si>
  <si>
    <t>Other Revenues - (IMP) Integrity Management Project</t>
  </si>
  <si>
    <t>Other Revenues - Miscellaneous</t>
  </si>
  <si>
    <t>Provision For Rate Refund</t>
  </si>
  <si>
    <t>Pension Credit for Capitalization</t>
  </si>
  <si>
    <t>Employee Deferred Compensation Expense</t>
  </si>
  <si>
    <t>Short-term Disability</t>
  </si>
  <si>
    <t>Restructuring Expense - Termination Benefits</t>
  </si>
  <si>
    <t>Restructuring Expense - Other</t>
  </si>
  <si>
    <t>Severance Reserve (Guatemala)</t>
  </si>
  <si>
    <t>Annual Bonus (Guatemala)</t>
  </si>
  <si>
    <t>Empl Exp - Relocation Expenses</t>
  </si>
  <si>
    <t>Employee Expense Reclass</t>
  </si>
  <si>
    <t>Analytical (Predictive Maint)</t>
  </si>
  <si>
    <t>EHS Monitoring</t>
  </si>
  <si>
    <t>Fuel Expense - Non-recoverable</t>
  </si>
  <si>
    <t>Fuel additive</t>
  </si>
  <si>
    <t>Fuel Expense - Coal Warehousing &amp; Custody Fee</t>
  </si>
  <si>
    <t>Fuel Expense - Propane</t>
  </si>
  <si>
    <t>Fuel Expense - Transportation</t>
  </si>
  <si>
    <t>Fuel Expense - Intercompany</t>
  </si>
  <si>
    <t>Fuel Expense sent to Balance Sheet</t>
  </si>
  <si>
    <t>Non-recoverable Purchase Power</t>
  </si>
  <si>
    <t>Purchased Power Expense sent to Balance Sheet</t>
  </si>
  <si>
    <t>Cost of Natural Gas Netted</t>
  </si>
  <si>
    <t>Cost of Natural Gas Sold</t>
  </si>
  <si>
    <t>Cost of Exchange Gas Sold</t>
  </si>
  <si>
    <t>Cost of Natural Gas Sold - Intercompany</t>
  </si>
  <si>
    <t>Cost of Natural Gas Sold sent to Balance Sheet</t>
  </si>
  <si>
    <t>Cost of Goods Sold - TPI Program Costs</t>
  </si>
  <si>
    <t>Cost of Goods Sold sent to Balance Sheet</t>
  </si>
  <si>
    <t>Mat &amp; Supp - Defective Inventory Scrap</t>
  </si>
  <si>
    <t>Transportation - Trailers</t>
  </si>
  <si>
    <t>Transportation - Off-Road</t>
  </si>
  <si>
    <t>Transportation - Coal Handling</t>
  </si>
  <si>
    <t>Transportation - Personnel Transport</t>
  </si>
  <si>
    <t>Transportation Expense Reclass</t>
  </si>
  <si>
    <t>Insurance - Automobile</t>
  </si>
  <si>
    <t>Insurance - Blanket Accident</t>
  </si>
  <si>
    <t>Insurance - Mobile Equipment Rental</t>
  </si>
  <si>
    <t>Insurance - Political Risk</t>
  </si>
  <si>
    <t>Insurance - Practices Liability</t>
  </si>
  <si>
    <t>Insurance - Workers Compensation - States</t>
  </si>
  <si>
    <t>Short-term Rent - Office Equipment</t>
  </si>
  <si>
    <t>Long-term Lease - Non-Office Equipment</t>
  </si>
  <si>
    <t>Long-term Lease - Office Equipment</t>
  </si>
  <si>
    <t>Long-term Lease - Port Services</t>
  </si>
  <si>
    <t>In-Kind Donations</t>
  </si>
  <si>
    <t>Fees - AMM (Guatemala)</t>
  </si>
  <si>
    <t>Fees - Stock Exchange</t>
  </si>
  <si>
    <t>Fees - Transmission Line - Spot</t>
  </si>
  <si>
    <t>Fees - Miscellaneous - Above the line</t>
  </si>
  <si>
    <t>Transfer Agent</t>
  </si>
  <si>
    <t>Stadium - Food</t>
  </si>
  <si>
    <t>Stadium - Other</t>
  </si>
  <si>
    <t>I&amp;D Allocated to Capital</t>
  </si>
  <si>
    <t>Small Tools Alloc</t>
  </si>
  <si>
    <t>Self Help Alloc</t>
  </si>
  <si>
    <t>T&amp;I Allocation</t>
  </si>
  <si>
    <t>Facilities Alloc</t>
  </si>
  <si>
    <t>E&amp;S Alloc-Contractor</t>
  </si>
  <si>
    <t>Intercompany Subsidiary Credit - Allocated A&amp;G</t>
  </si>
  <si>
    <t>Intercompany Record Retention and Mail Services</t>
  </si>
  <si>
    <t>IC Direct fr Svc Co</t>
  </si>
  <si>
    <t>IC Indirect fr Svc Co</t>
  </si>
  <si>
    <t>Intercompany - Asset Usage Fee</t>
  </si>
  <si>
    <t>Other Operational Expense - GAAP Adjustment</t>
  </si>
  <si>
    <t>Other Miscellaneous Expense - Below the Line</t>
  </si>
  <si>
    <t>Recoverable Conservation O&amp;M</t>
  </si>
  <si>
    <t>Recoverable ECRC O&amp;M</t>
  </si>
  <si>
    <t>Recoverable SPPCRC O&amp;M</t>
  </si>
  <si>
    <t>Restructuring Charges</t>
  </si>
  <si>
    <t>IT Charges to the Balance Sheet</t>
  </si>
  <si>
    <t>Facility Charges to the Balance Sheet</t>
  </si>
  <si>
    <t>Telecom Charges to the Balance Sheet</t>
  </si>
  <si>
    <t>Corporate Overhead Allocation to the Balance Sheet</t>
  </si>
  <si>
    <t>HR Charges to the Balance Sheet</t>
  </si>
  <si>
    <t>TSI Services Charges to the Balance Sheet</t>
  </si>
  <si>
    <t>Procurement Charges to the Balance Sheet</t>
  </si>
  <si>
    <t>T&amp;I Chgs to BalSht</t>
  </si>
  <si>
    <t>TSI Capital Charges to the Balance Sheet</t>
  </si>
  <si>
    <t>Amortization - Non-Utility Property</t>
  </si>
  <si>
    <t>Amortization - Viability Study</t>
  </si>
  <si>
    <t>Amortization - Environmental Remediation</t>
  </si>
  <si>
    <t>Amortization - Intangible Asset</t>
  </si>
  <si>
    <t>Amortization - PPA Option</t>
  </si>
  <si>
    <t>Amortization - Start up Costs</t>
  </si>
  <si>
    <t>Amortization - Regulatory Debits</t>
  </si>
  <si>
    <t>Amortization - Regulatory Credit</t>
  </si>
  <si>
    <t>Amortization - OUC Trans</t>
  </si>
  <si>
    <t>Amortization - ROW Transmission</t>
  </si>
  <si>
    <t>Amortization - ROW Distribution</t>
  </si>
  <si>
    <t>Amortization - IMP Regulatory Asset</t>
  </si>
  <si>
    <t>Amortization - Other</t>
  </si>
  <si>
    <t>Amortization Expense sent to Balance Sheet</t>
  </si>
  <si>
    <t>Depreciation - Non-Utility Property</t>
  </si>
  <si>
    <t>Depreciation - ARO Asset</t>
  </si>
  <si>
    <t>Depreciation - ARO Accretion</t>
  </si>
  <si>
    <t>Depreciation - CI/BSR Rider</t>
  </si>
  <si>
    <t>Depreciation - Fuel Clause Assets</t>
  </si>
  <si>
    <t>Depreciation - Non-Refundable CIAC</t>
  </si>
  <si>
    <t>Depreciation - Other</t>
  </si>
  <si>
    <t>Depreciation - Other - GAAP adjustment</t>
  </si>
  <si>
    <t>Depreciation - Other - Leased Assets</t>
  </si>
  <si>
    <t>Depreciation Expense sent to Balance Sheet</t>
  </si>
  <si>
    <t>Asset Impairment</t>
  </si>
  <si>
    <t>Goodwill Impairment</t>
  </si>
  <si>
    <t>TOTI - Foreign Withholding Tax</t>
  </si>
  <si>
    <t>TOTI - Payroll Tax - Capitalized</t>
  </si>
  <si>
    <t>TOTI - Social Security - IGSS</t>
  </si>
  <si>
    <t>TOTI - Stamp Tax</t>
  </si>
  <si>
    <t>Interest Inc - Defd Wholesale</t>
  </si>
  <si>
    <t>Interest Inc - Dividends</t>
  </si>
  <si>
    <t>Interest Inc - Deferred Cost Recovery</t>
  </si>
  <si>
    <t>Interest Inc - Defd Conservation Clause</t>
  </si>
  <si>
    <t>Interest Inc - Defd Environmental Clause</t>
  </si>
  <si>
    <t>Interest Inc - Defd Purchased Gas Adj Clause</t>
  </si>
  <si>
    <t>Interest Inc - Defd Competitive Rate Adj Clause</t>
  </si>
  <si>
    <t>Interest Inc - Defd CI/BSR Rider</t>
  </si>
  <si>
    <t>Interest Inc - Defd Storm Clause</t>
  </si>
  <si>
    <t>Interest Income sent to Balance Sheet</t>
  </si>
  <si>
    <t>Basic Ordering Agreement</t>
  </si>
  <si>
    <t>Gain/(Loss) Sale of Investments</t>
  </si>
  <si>
    <t>Gain/(Loss) Derivative Trading</t>
  </si>
  <si>
    <t>Gain/(Loss) Debt Extinguishment</t>
  </si>
  <si>
    <t>Gain/(Loss) Translation Adjustment USGAAP</t>
  </si>
  <si>
    <t>Oth Inc/Exp - Intercompany</t>
  </si>
  <si>
    <t>Gain Sale of Utility Property</t>
  </si>
  <si>
    <t>Amortization of gain on Reacquired Debt</t>
  </si>
  <si>
    <t>Coal Sales</t>
  </si>
  <si>
    <t>Jobbing Revenue</t>
  </si>
  <si>
    <t>Tree Trimming Revenue</t>
  </si>
  <si>
    <t>MSEA/MEP Credits</t>
  </si>
  <si>
    <t>Asset Optimizations</t>
  </si>
  <si>
    <t>Utility Energy Service Contracts</t>
  </si>
  <si>
    <t>Other Expense - Miscellaneous</t>
  </si>
  <si>
    <t>Loss Sale of Utility Property</t>
  </si>
  <si>
    <t>Loss on Disposal of Fixed Assets</t>
  </si>
  <si>
    <t>Cost of Coal Sales</t>
  </si>
  <si>
    <t>Jobbing Expense</t>
  </si>
  <si>
    <t>Tree Trimming Expense</t>
  </si>
  <si>
    <t>Pension Expense - Non-service cost</t>
  </si>
  <si>
    <t>Post Retirement FAS106 Active Exp-Non-service cost</t>
  </si>
  <si>
    <t>Post Retirement FAS106 Retiree Exp-Non-service</t>
  </si>
  <si>
    <t>Sup Exec Retirement Exp (SERP)-Non-service cost</t>
  </si>
  <si>
    <t>Restoration Benefit Plan Exp - Non-service cost</t>
  </si>
  <si>
    <t>Other Expense sent to Balance Sheet</t>
  </si>
  <si>
    <t>Equity Earnings - Consolidated Affiliate</t>
  </si>
  <si>
    <t>Equity Earnings - Unconsolidated Affiliate</t>
  </si>
  <si>
    <t>Equity Earnings sent to Balance Sheet</t>
  </si>
  <si>
    <t>Capitalized Interest to PP&amp;E</t>
  </si>
  <si>
    <t>Interest Exp - AR Securitization</t>
  </si>
  <si>
    <t>Interest Exp - Deferred Cost Recovery</t>
  </si>
  <si>
    <t>Interest Exp - Derivative Interest Cap</t>
  </si>
  <si>
    <t>Interest Exp - Amortiz of Fees Credit Facilities</t>
  </si>
  <si>
    <t>Interest Exp - Taxes</t>
  </si>
  <si>
    <t>Interest Exp - Term Loan Long-term Debt</t>
  </si>
  <si>
    <t>Amortization of premium on Debt</t>
  </si>
  <si>
    <t>Interest Exp - Amortiz of Fees on Term Loan LT Debt</t>
  </si>
  <si>
    <t>Interest Exp - Capitalized Interest Long-term Debt</t>
  </si>
  <si>
    <t>Interest Exp - Defd Fuel Clause</t>
  </si>
  <si>
    <t>Interest Exp - Defd Purchased Gas Adj Clause</t>
  </si>
  <si>
    <t>Interest Exp - Defd CI/BSR Rider</t>
  </si>
  <si>
    <t>Income Tax Expense - Foreign</t>
  </si>
  <si>
    <t>Income Tax Expense-Current sent to Balance Sheet</t>
  </si>
  <si>
    <t>DIT Federal - Other Property</t>
  </si>
  <si>
    <t>DIT Federal - Other Property - Cr</t>
  </si>
  <si>
    <t>DIT Federal Accel Amort</t>
  </si>
  <si>
    <t>DIT State Accelerated Amortization Property - Cr</t>
  </si>
  <si>
    <t>DIT State - Other Property</t>
  </si>
  <si>
    <t>DIT State - Other Property - Cr</t>
  </si>
  <si>
    <t>Deferred Income Tax Expense - Foreign</t>
  </si>
  <si>
    <t>Income Tax Expense-Deferred sent to Balance Sheet</t>
  </si>
  <si>
    <t>Non-Controlling Interest</t>
  </si>
  <si>
    <t>Non-Controlling Interest sent to Balance Sheet</t>
  </si>
  <si>
    <t>FICO Reconciliation</t>
  </si>
  <si>
    <t>FICO Reconciliation - Fuel</t>
  </si>
  <si>
    <t>FICO Reconciliation - Purchased Power</t>
  </si>
  <si>
    <t>FICO Reconciliation - Cost of Natural Gas Sold</t>
  </si>
  <si>
    <t>Emera FICO Reconciliation - O&amp;M Expense</t>
  </si>
  <si>
    <t>FICO Reconciliation - Depreciation/Amortization</t>
  </si>
  <si>
    <t>FICO Reconciliation - Restructuring Charges</t>
  </si>
  <si>
    <t>FICO Reconciliation - Interest Expense</t>
  </si>
  <si>
    <t>FICO Reconciliation - Income Taxes</t>
  </si>
  <si>
    <t>FICO Recon - Intercompany Billing Allocation</t>
  </si>
  <si>
    <t>FICO Reconciliation - Corp Comm Allocation</t>
  </si>
  <si>
    <t>FICO Reconciliation - SS Document Service</t>
  </si>
  <si>
    <t>FICO Reconciliation - SS Payroll</t>
  </si>
  <si>
    <t>FICO Reconciliation - TSI Capital Allocation</t>
  </si>
  <si>
    <t>Dividends sent to Retained Earnings</t>
  </si>
  <si>
    <t>Income Summary Offset</t>
  </si>
  <si>
    <t>A1000000</t>
  </si>
  <si>
    <t>Assessed Corporate Services Allocation</t>
  </si>
  <si>
    <t>A1000001</t>
  </si>
  <si>
    <t>Assessed Fitness Center Charges</t>
  </si>
  <si>
    <t>A1000002</t>
  </si>
  <si>
    <t>Assessed Make Ready Charges</t>
  </si>
  <si>
    <t>A1000100</t>
  </si>
  <si>
    <t>A1000101</t>
  </si>
  <si>
    <t>Assessed Facility Charges</t>
  </si>
  <si>
    <t>A1000102</t>
  </si>
  <si>
    <t>Assessed Telecom Charges</t>
  </si>
  <si>
    <t>A1000103</t>
  </si>
  <si>
    <t>A1000104</t>
  </si>
  <si>
    <t>Assessed Admin Services</t>
  </si>
  <si>
    <t>A1000105</t>
  </si>
  <si>
    <t>A1000106</t>
  </si>
  <si>
    <t>Assessed I/C Direct Capital Labor Charge</t>
  </si>
  <si>
    <t>A1000107</t>
  </si>
  <si>
    <t>Assessed T&amp;I Charges</t>
  </si>
  <si>
    <t>A1000108</t>
  </si>
  <si>
    <t>A1000109</t>
  </si>
  <si>
    <t>A1000110</t>
  </si>
  <si>
    <t>Assessed Shared Services Corp Comm Charges</t>
  </si>
  <si>
    <t>A1000111</t>
  </si>
  <si>
    <t>Assessed Shared Services Acct Payable Charges</t>
  </si>
  <si>
    <t>A1000112</t>
  </si>
  <si>
    <t>Assessed Shared Services Claims Charges</t>
  </si>
  <si>
    <t>A1000113</t>
  </si>
  <si>
    <t>Assessed SS DOC Services</t>
  </si>
  <si>
    <t>A1000114</t>
  </si>
  <si>
    <t>Assessed SS Payroll Charge</t>
  </si>
  <si>
    <t>A1000200</t>
  </si>
  <si>
    <t>Assessed Fleet Charges</t>
  </si>
  <si>
    <t>A1000201</t>
  </si>
  <si>
    <t>Assessed Small Tools Clearing Charges</t>
  </si>
  <si>
    <t>A1000300</t>
  </si>
  <si>
    <t>A1000301</t>
  </si>
  <si>
    <t>Assessed Self Help Charges</t>
  </si>
  <si>
    <t>A1000500</t>
  </si>
  <si>
    <t>Assessed Supervisory &amp; Management Alloc</t>
  </si>
  <si>
    <t>A1000501</t>
  </si>
  <si>
    <t>ASD ENG &amp; SUPV EXT</t>
  </si>
  <si>
    <t>A1000502</t>
  </si>
  <si>
    <t>ASD ENG &amp; SUPV SLT</t>
  </si>
  <si>
    <t>A6010000</t>
  </si>
  <si>
    <t>Assessed Labor Expense</t>
  </si>
  <si>
    <t>A6019900</t>
  </si>
  <si>
    <t>Assessed ST Labor &amp; Benefits Expense</t>
  </si>
  <si>
    <t>A6019910</t>
  </si>
  <si>
    <t>Assessed OT Labor &amp; Benefits Expense</t>
  </si>
  <si>
    <t>A6020000</t>
  </si>
  <si>
    <t>Assessed Benefits Expense</t>
  </si>
  <si>
    <t>A6030000</t>
  </si>
  <si>
    <t>Assessed Employee Reimbursable Expense</t>
  </si>
  <si>
    <t>A6100000</t>
  </si>
  <si>
    <t>Assessed Outside Services Expense</t>
  </si>
  <si>
    <t>A6200000</t>
  </si>
  <si>
    <t>Assessed Fuel Expense</t>
  </si>
  <si>
    <t>A6250000</t>
  </si>
  <si>
    <t>Assessed Purchased Power</t>
  </si>
  <si>
    <t>A6300000</t>
  </si>
  <si>
    <t>Assessed Cost of Natural Gas Sold</t>
  </si>
  <si>
    <t>A6350000</t>
  </si>
  <si>
    <t>Assessed Cost of Goods Sold</t>
  </si>
  <si>
    <t>A6400000</t>
  </si>
  <si>
    <t>Assessed Materials &amp; Supplies Expense</t>
  </si>
  <si>
    <t>A6500000</t>
  </si>
  <si>
    <t>Assessed Transportation Expense</t>
  </si>
  <si>
    <t>A6700000</t>
  </si>
  <si>
    <t>Assessed Insurance Expense</t>
  </si>
  <si>
    <t>A6710000</t>
  </si>
  <si>
    <t>Assessed Rent Expense</t>
  </si>
  <si>
    <t>A6720000</t>
  </si>
  <si>
    <t>Assessed Lease Expense</t>
  </si>
  <si>
    <t>A6730000</t>
  </si>
  <si>
    <t>Assessed Utilities Expense</t>
  </si>
  <si>
    <t>A6780000</t>
  </si>
  <si>
    <t>Assessed Miscellaneous Billing Expense</t>
  </si>
  <si>
    <t>A6790000</t>
  </si>
  <si>
    <t>Assessed Other Operational Expense</t>
  </si>
  <si>
    <t>A6800000</t>
  </si>
  <si>
    <t>Assessed Amortization Expense</t>
  </si>
  <si>
    <t>A6810000</t>
  </si>
  <si>
    <t>Assessed Depreciation Expense</t>
  </si>
  <si>
    <t>A6900000</t>
  </si>
  <si>
    <t>Assessed Taxes Other Than Income</t>
  </si>
  <si>
    <t>A6900040</t>
  </si>
  <si>
    <t>ASD Taxes</t>
  </si>
  <si>
    <t>A7000000</t>
  </si>
  <si>
    <t>Assessed Interest Income</t>
  </si>
  <si>
    <t>A7100000</t>
  </si>
  <si>
    <t>Assessed Other Income</t>
  </si>
  <si>
    <t>A7200000</t>
  </si>
  <si>
    <t>Assessed Other Expense</t>
  </si>
  <si>
    <t>A7300000</t>
  </si>
  <si>
    <t>Assessed Equity Earnings</t>
  </si>
  <si>
    <t>A7500000</t>
  </si>
  <si>
    <t>Assessed Interest Expense</t>
  </si>
  <si>
    <t>A8000000</t>
  </si>
  <si>
    <t>Assessed Income Tax Exp - Current</t>
  </si>
  <si>
    <t>A8010000</t>
  </si>
  <si>
    <t>Assessed Income Tax Exp - Deferred</t>
  </si>
  <si>
    <t>A8200000</t>
  </si>
  <si>
    <t>Assessed Non-controlling Interest</t>
  </si>
  <si>
    <t>C1010001</t>
  </si>
  <si>
    <t>A&amp;G Adder</t>
  </si>
  <si>
    <t>C1010002</t>
  </si>
  <si>
    <t>A&amp;G plus Parent Adder</t>
  </si>
  <si>
    <t>C1010003</t>
  </si>
  <si>
    <t>C6020000</t>
  </si>
  <si>
    <t>C6900040</t>
  </si>
  <si>
    <t>CS Taxes</t>
  </si>
  <si>
    <t>A_IC_ADVANCE</t>
  </si>
  <si>
    <t>Intercompany Advance</t>
  </si>
  <si>
    <t>A_IC_DERIVATIVE</t>
  </si>
  <si>
    <t>Intercompany Derivative</t>
  </si>
  <si>
    <t>A_IC_DIVIDEND</t>
  </si>
  <si>
    <t>Intercompany Dividend</t>
  </si>
  <si>
    <t>A_IC_EQUITY</t>
  </si>
  <si>
    <t>Intercompany Equity</t>
  </si>
  <si>
    <t>A_IC_EQUITY_EARNINGS</t>
  </si>
  <si>
    <t>Intercompany Equity Earnings</t>
  </si>
  <si>
    <t>A_IC_EXPENSES</t>
  </si>
  <si>
    <t>Intercompany Expenses</t>
  </si>
  <si>
    <t>A_IC_GAS_SALES</t>
  </si>
  <si>
    <t>Intercompany Gas Sales</t>
  </si>
  <si>
    <t>A_IC_INTEREST</t>
  </si>
  <si>
    <t>Intercompany Interest</t>
  </si>
  <si>
    <t>A_IC_INTEREST_EXP</t>
  </si>
  <si>
    <t>Intercompany Interest Expense</t>
  </si>
  <si>
    <t>A_IC_NOTES</t>
  </si>
  <si>
    <t>Intercompany Notes</t>
  </si>
  <si>
    <t>A_IC_NOTES_PAY_BS</t>
  </si>
  <si>
    <t>A_IC_NOTES_REC_BS</t>
  </si>
  <si>
    <t>Notes Receivable-Intercompany - Current (RECON)</t>
  </si>
  <si>
    <t>A_IC_OCI</t>
  </si>
  <si>
    <t>Intercompany OCI</t>
  </si>
  <si>
    <t>A_IC_RENTS</t>
  </si>
  <si>
    <t>Intercompany Rents</t>
  </si>
  <si>
    <t>A_IC_TRADE</t>
  </si>
  <si>
    <t>Intercompany Trade</t>
  </si>
  <si>
    <t>P1000000</t>
  </si>
  <si>
    <t>P1000001</t>
  </si>
  <si>
    <t>Planned Fitness Center Charges</t>
  </si>
  <si>
    <t>P1000002</t>
  </si>
  <si>
    <t>Planned Make Ready Charges</t>
  </si>
  <si>
    <t>P1000100</t>
  </si>
  <si>
    <t>P1000101</t>
  </si>
  <si>
    <t>P1000102</t>
  </si>
  <si>
    <t>P1000103</t>
  </si>
  <si>
    <t>P1000104</t>
  </si>
  <si>
    <t>P1000105</t>
  </si>
  <si>
    <t>P1000106</t>
  </si>
  <si>
    <t>Planned I/C Direct Capital Labor Charge</t>
  </si>
  <si>
    <t>P1000107</t>
  </si>
  <si>
    <t>Planned T&amp;I Charges</t>
  </si>
  <si>
    <t>P1000108</t>
  </si>
  <si>
    <t>P1000109</t>
  </si>
  <si>
    <t>P1000110</t>
  </si>
  <si>
    <t>Planned SS CorpComm Chgs</t>
  </si>
  <si>
    <t>P1000111</t>
  </si>
  <si>
    <t>P1000112</t>
  </si>
  <si>
    <t>P1000113</t>
  </si>
  <si>
    <t>Planned SS DOC Services</t>
  </si>
  <si>
    <t>P1000114</t>
  </si>
  <si>
    <t>Planned SS Payroll Charge</t>
  </si>
  <si>
    <t>P1000200</t>
  </si>
  <si>
    <t>Planned Fleet Charges</t>
  </si>
  <si>
    <t>P1000201</t>
  </si>
  <si>
    <t>Planned Small Tools Clearing Charges</t>
  </si>
  <si>
    <t>P1000300</t>
  </si>
  <si>
    <t>P1000301</t>
  </si>
  <si>
    <t>Planned Self Help Charges</t>
  </si>
  <si>
    <t>P1000500</t>
  </si>
  <si>
    <t>Planned Supervisory &amp; Management Alloc</t>
  </si>
  <si>
    <t>P6010000</t>
  </si>
  <si>
    <t>Planned Labor Expense</t>
  </si>
  <si>
    <t>P6019900</t>
  </si>
  <si>
    <t>Planned ST Labor &amp; Benefits Expense</t>
  </si>
  <si>
    <t>P6019910</t>
  </si>
  <si>
    <t>Planned OT Labor &amp; Benefits Expense</t>
  </si>
  <si>
    <t>P6020000</t>
  </si>
  <si>
    <t>P6030000</t>
  </si>
  <si>
    <t>Planned Employee Reimbursable Expense</t>
  </si>
  <si>
    <t>P6100000</t>
  </si>
  <si>
    <t>P6200000</t>
  </si>
  <si>
    <t>Planned Fuel Expense</t>
  </si>
  <si>
    <t>P6250000</t>
  </si>
  <si>
    <t>Planned Purchased Power</t>
  </si>
  <si>
    <t>P6300000</t>
  </si>
  <si>
    <t>Planned Cost of Natural Gas Sold</t>
  </si>
  <si>
    <t>P6350000</t>
  </si>
  <si>
    <t>Planned Cost of Goods Sold</t>
  </si>
  <si>
    <t>P6400000</t>
  </si>
  <si>
    <t>Planned Materials &amp; Supplies Expense</t>
  </si>
  <si>
    <t>P6500000</t>
  </si>
  <si>
    <t>Planned Transportation Expense</t>
  </si>
  <si>
    <t>P6700000</t>
  </si>
  <si>
    <t>Planned Insurance Expense</t>
  </si>
  <si>
    <t>P6710000</t>
  </si>
  <si>
    <t>Planned Rent Expense</t>
  </si>
  <si>
    <t>P6720000</t>
  </si>
  <si>
    <t>Planned Lease Expense</t>
  </si>
  <si>
    <t>P6730000</t>
  </si>
  <si>
    <t>Planned Utilities Expense</t>
  </si>
  <si>
    <t>P6780000</t>
  </si>
  <si>
    <t>Planned Miscellaneous Billing Expense</t>
  </si>
  <si>
    <t>P6790000</t>
  </si>
  <si>
    <t>Planned Other Operational Expense</t>
  </si>
  <si>
    <t>P6800000</t>
  </si>
  <si>
    <t>Planned Amortization Expense</t>
  </si>
  <si>
    <t>P6810000</t>
  </si>
  <si>
    <t>Planned Depreciation Expense</t>
  </si>
  <si>
    <t>P6900000</t>
  </si>
  <si>
    <t>Planned Taxes Other Than Income</t>
  </si>
  <si>
    <t>P7000000</t>
  </si>
  <si>
    <t>Planned Interest Income</t>
  </si>
  <si>
    <t>P7100000</t>
  </si>
  <si>
    <t>Planned Other Income</t>
  </si>
  <si>
    <t>P7200000</t>
  </si>
  <si>
    <t>Planned Other Expense</t>
  </si>
  <si>
    <t>P7300000</t>
  </si>
  <si>
    <t>Planned Equity Earnings</t>
  </si>
  <si>
    <t>P7500000</t>
  </si>
  <si>
    <t>Planned Interest Expense</t>
  </si>
  <si>
    <t>P8000000</t>
  </si>
  <si>
    <t>Planned Income Tax Exp - Current</t>
  </si>
  <si>
    <t>P8010000</t>
  </si>
  <si>
    <t>Planned Income Tax Exp - Deferred</t>
  </si>
  <si>
    <t>P8200000</t>
  </si>
  <si>
    <t>Planned Non-controlling Interest</t>
  </si>
  <si>
    <t>R6010000</t>
  </si>
  <si>
    <t>SLR Straight Time Blended Labor</t>
  </si>
  <si>
    <t>R6010010</t>
  </si>
  <si>
    <t>SLR Overtime Blended Labor</t>
  </si>
  <si>
    <t>S1000000</t>
  </si>
  <si>
    <t>Settled Corporate Overhead Allocation</t>
  </si>
  <si>
    <t>S1000001</t>
  </si>
  <si>
    <t>Settled Fitness Center Charges</t>
  </si>
  <si>
    <t>S1000002</t>
  </si>
  <si>
    <t>Settled Make Ready Charges</t>
  </si>
  <si>
    <t>S1000100</t>
  </si>
  <si>
    <t>Settled IT Charges</t>
  </si>
  <si>
    <t>S1000101</t>
  </si>
  <si>
    <t>S1000102</t>
  </si>
  <si>
    <t>S1000103</t>
  </si>
  <si>
    <t>S1000104</t>
  </si>
  <si>
    <t>S1000105</t>
  </si>
  <si>
    <t>S1000106</t>
  </si>
  <si>
    <t>Settled I/C Direct Capital Labor Charge</t>
  </si>
  <si>
    <t>S1000107</t>
  </si>
  <si>
    <t>Settled T&amp;I Charges</t>
  </si>
  <si>
    <t>S1000108</t>
  </si>
  <si>
    <t>Settled SS HREmpRel Chgs</t>
  </si>
  <si>
    <t>S1000109</t>
  </si>
  <si>
    <t>S1000110</t>
  </si>
  <si>
    <t>Settled SS CorpComm Chgs</t>
  </si>
  <si>
    <t>S1000111</t>
  </si>
  <si>
    <t>Settled SS AcctsPay Chgs</t>
  </si>
  <si>
    <t>S1000112</t>
  </si>
  <si>
    <t>Settled SS Claims Chgs</t>
  </si>
  <si>
    <t>S1000113</t>
  </si>
  <si>
    <t>Settled SS DOC Services</t>
  </si>
  <si>
    <t>S1000114</t>
  </si>
  <si>
    <t>Settled SS Payroll Charge</t>
  </si>
  <si>
    <t>S1000200</t>
  </si>
  <si>
    <t>S1000201</t>
  </si>
  <si>
    <t>S1000300</t>
  </si>
  <si>
    <t>S1000301</t>
  </si>
  <si>
    <t>S1000500</t>
  </si>
  <si>
    <t>Settled Supervisory &amp; Management Alloc</t>
  </si>
  <si>
    <t>S1000501</t>
  </si>
  <si>
    <t>STLD ENG &amp; SUPV EXT</t>
  </si>
  <si>
    <t>S1000502</t>
  </si>
  <si>
    <t>STLD ENG &amp; SUPV SLT</t>
  </si>
  <si>
    <t>S1010001</t>
  </si>
  <si>
    <t>Settled A&amp;G Adder</t>
  </si>
  <si>
    <t>S1010002</t>
  </si>
  <si>
    <t>Settled A&amp;G plus Parent Adder</t>
  </si>
  <si>
    <t>S1010003</t>
  </si>
  <si>
    <t>Settled TSI A&amp;G Adder</t>
  </si>
  <si>
    <t>S6010000</t>
  </si>
  <si>
    <t>S6010010</t>
  </si>
  <si>
    <t>S6010110</t>
  </si>
  <si>
    <t>Settled Labor Exempt - Straight Time</t>
  </si>
  <si>
    <t>S6010120</t>
  </si>
  <si>
    <t>Settled Labor Exempt - Overtime</t>
  </si>
  <si>
    <t>S6010130</t>
  </si>
  <si>
    <t>Settled Labor Exempt - Non-Productive Time</t>
  </si>
  <si>
    <t>S6010210</t>
  </si>
  <si>
    <t>Settled Labor Non Exempt - Straight Time</t>
  </si>
  <si>
    <t>S6010220</t>
  </si>
  <si>
    <t>Settled Labor Non Exempt - Overtime</t>
  </si>
  <si>
    <t>S6010230</t>
  </si>
  <si>
    <t>Settled Labor Non Exempt - Non-Productive Time</t>
  </si>
  <si>
    <t>S6010310</t>
  </si>
  <si>
    <t>Settled Labor Union - Straight Time</t>
  </si>
  <si>
    <t>S6010320</t>
  </si>
  <si>
    <t>Settled Labor Union - Overtime</t>
  </si>
  <si>
    <t>S6010330</t>
  </si>
  <si>
    <t>Settled Labor Union - Non-Productive Time</t>
  </si>
  <si>
    <t>S6010400</t>
  </si>
  <si>
    <t>Settled Labor Severance</t>
  </si>
  <si>
    <t>S6010900</t>
  </si>
  <si>
    <t>Settled Labor Commissions</t>
  </si>
  <si>
    <t>S6010910</t>
  </si>
  <si>
    <t>Settled Labor Off-Cycle Bonus</t>
  </si>
  <si>
    <t>S6010990</t>
  </si>
  <si>
    <t>S6018999</t>
  </si>
  <si>
    <t>S6019000</t>
  </si>
  <si>
    <t>Settled Labor Expense to Balance Sheet</t>
  </si>
  <si>
    <t>S6019900</t>
  </si>
  <si>
    <t>S6019910</t>
  </si>
  <si>
    <t>S6020000</t>
  </si>
  <si>
    <t>S6020010</t>
  </si>
  <si>
    <t>S6020020</t>
  </si>
  <si>
    <t>S6020030</t>
  </si>
  <si>
    <t>S6020040</t>
  </si>
  <si>
    <t>S6020050</t>
  </si>
  <si>
    <t>S6020060</t>
  </si>
  <si>
    <t>S6020070</t>
  </si>
  <si>
    <t>Settled Pension Credit for Capitalization</t>
  </si>
  <si>
    <t>S6020080</t>
  </si>
  <si>
    <t>S6020090</t>
  </si>
  <si>
    <t>S6020100</t>
  </si>
  <si>
    <t>S6020101</t>
  </si>
  <si>
    <t>Settled Employee Deferred Compensation Exp</t>
  </si>
  <si>
    <t>S6020110</t>
  </si>
  <si>
    <t>S6020130</t>
  </si>
  <si>
    <t>S6020131</t>
  </si>
  <si>
    <t>S6020140</t>
  </si>
  <si>
    <t>Settled Employer 401K Performance Match</t>
  </si>
  <si>
    <t>S6020150</t>
  </si>
  <si>
    <t>S6020160</t>
  </si>
  <si>
    <t>Settled Short-term Disability</t>
  </si>
  <si>
    <t>S6020170</t>
  </si>
  <si>
    <t>S6020180</t>
  </si>
  <si>
    <t>S6020190</t>
  </si>
  <si>
    <t>Settled Restructuring Expense - Termination</t>
  </si>
  <si>
    <t>S6020200</t>
  </si>
  <si>
    <t>Settled Restructuring Expense - Other</t>
  </si>
  <si>
    <t>S6020210</t>
  </si>
  <si>
    <t>Settled Severance Reserve (Guatemala)</t>
  </si>
  <si>
    <t>S6020220</t>
  </si>
  <si>
    <t>S6020230</t>
  </si>
  <si>
    <t>S6020240</t>
  </si>
  <si>
    <t>Settled Employer Match on Common Stock Purch</t>
  </si>
  <si>
    <t>S6020800</t>
  </si>
  <si>
    <t>S6020900</t>
  </si>
  <si>
    <t>S6020910</t>
  </si>
  <si>
    <t>Settled Annual Bonus (Guatemala)</t>
  </si>
  <si>
    <t>S6020920</t>
  </si>
  <si>
    <t>S6028999</t>
  </si>
  <si>
    <t>S6029000</t>
  </si>
  <si>
    <t>Settled Benefits Expense to Balance Sheet</t>
  </si>
  <si>
    <t>S6030000</t>
  </si>
  <si>
    <t>S6030010</t>
  </si>
  <si>
    <t>S6030020</t>
  </si>
  <si>
    <t>S6030030</t>
  </si>
  <si>
    <t>S6030040</t>
  </si>
  <si>
    <t>S6030050</t>
  </si>
  <si>
    <t>S6030060</t>
  </si>
  <si>
    <t>S6030070</t>
  </si>
  <si>
    <t>S6030080</t>
  </si>
  <si>
    <t>S6030090</t>
  </si>
  <si>
    <t>Settled Empl Exp - Relocation Expenses</t>
  </si>
  <si>
    <t>S6030091</t>
  </si>
  <si>
    <t>S6030800</t>
  </si>
  <si>
    <t>S6038999</t>
  </si>
  <si>
    <t>S6039000</t>
  </si>
  <si>
    <t>S6100000</t>
  </si>
  <si>
    <t>S6100010</t>
  </si>
  <si>
    <t>S6100020</t>
  </si>
  <si>
    <t>Settled Analytical (Predictive Maint)</t>
  </si>
  <si>
    <t>S6100030</t>
  </si>
  <si>
    <t>S6100040</t>
  </si>
  <si>
    <t>S6100050</t>
  </si>
  <si>
    <t>S6100060</t>
  </si>
  <si>
    <t>S6100070</t>
  </si>
  <si>
    <t>S6100080</t>
  </si>
  <si>
    <t>S6100090</t>
  </si>
  <si>
    <t>S6100100</t>
  </si>
  <si>
    <t>S6100110</t>
  </si>
  <si>
    <t>Settled Instrument Service/Repair</t>
  </si>
  <si>
    <t>S6100120</t>
  </si>
  <si>
    <t>Settled Tools Service/Repair</t>
  </si>
  <si>
    <t>S6100130</t>
  </si>
  <si>
    <t>Settled EHS Monitoring</t>
  </si>
  <si>
    <t>S6100140</t>
  </si>
  <si>
    <t>S6100150</t>
  </si>
  <si>
    <t>S6100160</t>
  </si>
  <si>
    <t>S6100170</t>
  </si>
  <si>
    <t>S6100180</t>
  </si>
  <si>
    <t>S6100190</t>
  </si>
  <si>
    <t>S6100200</t>
  </si>
  <si>
    <t>Settled Trust Fee</t>
  </si>
  <si>
    <t>S6108999</t>
  </si>
  <si>
    <t>S6109000</t>
  </si>
  <si>
    <t>Settled Outside Services Expense to Balance Sheet</t>
  </si>
  <si>
    <t>S6200000</t>
  </si>
  <si>
    <t>Settled Fuel Expense</t>
  </si>
  <si>
    <t>S6200010</t>
  </si>
  <si>
    <t>S6200011</t>
  </si>
  <si>
    <t>Settled Fuel Expense - Non-recoverable</t>
  </si>
  <si>
    <t>S6200020</t>
  </si>
  <si>
    <t>Settled Fuel Expense - Coal Warehousing</t>
  </si>
  <si>
    <t>S6200030</t>
  </si>
  <si>
    <t>S6200040</t>
  </si>
  <si>
    <t>S6200050</t>
  </si>
  <si>
    <t>Settled Fuel Expense - Propane</t>
  </si>
  <si>
    <t>S6200060</t>
  </si>
  <si>
    <t>"Settled Fuel Expense - SO2 credits, Nox</t>
  </si>
  <si>
    <t>S6200070</t>
  </si>
  <si>
    <t>Settled Fuel Expense - Transportation</t>
  </si>
  <si>
    <t>S6200080</t>
  </si>
  <si>
    <t>Settled Fuel Renew Energy CRs</t>
  </si>
  <si>
    <t>S6200700</t>
  </si>
  <si>
    <t>Settled Fuel Expense - Intercompany</t>
  </si>
  <si>
    <t>S6209000</t>
  </si>
  <si>
    <t>Settled Fuel Expense to Balance Sheet</t>
  </si>
  <si>
    <t>S6250000</t>
  </si>
  <si>
    <t>S6250100</t>
  </si>
  <si>
    <t>S6259000</t>
  </si>
  <si>
    <t>Settled Purchased Power Expense to Balance Sheet</t>
  </si>
  <si>
    <t>S6300000</t>
  </si>
  <si>
    <t>Settled Cost of Natural Gas Sold</t>
  </si>
  <si>
    <t>S6300010</t>
  </si>
  <si>
    <t>Settled Cost of Natural Gas Netted</t>
  </si>
  <si>
    <t>S6300100</t>
  </si>
  <si>
    <t>S6300110</t>
  </si>
  <si>
    <t>Settled Cost of Exchange Gas Sold</t>
  </si>
  <si>
    <t>S6300700</t>
  </si>
  <si>
    <t>Settled Cost of Natural Gas Sold - Intercompany</t>
  </si>
  <si>
    <t>S6309000</t>
  </si>
  <si>
    <t>Settled Cost of Natural Gas Sold  to Balance Sheet</t>
  </si>
  <si>
    <t>S6350000</t>
  </si>
  <si>
    <t>Settled Cost of Goods Sold</t>
  </si>
  <si>
    <t>S6350100</t>
  </si>
  <si>
    <t>Settled Cost of Goods Sold - TPI Program</t>
  </si>
  <si>
    <t>S6359000</t>
  </si>
  <si>
    <t>Settled Cost of Goods Sold to Balance Sheet</t>
  </si>
  <si>
    <t>S6400000</t>
  </si>
  <si>
    <t>S6400010</t>
  </si>
  <si>
    <t>S6400020</t>
  </si>
  <si>
    <t>S6400030</t>
  </si>
  <si>
    <t>S6400040</t>
  </si>
  <si>
    <t>S6400050</t>
  </si>
  <si>
    <t>S6400060</t>
  </si>
  <si>
    <t>S6400070</t>
  </si>
  <si>
    <t>S6400080</t>
  </si>
  <si>
    <t>S6400100</t>
  </si>
  <si>
    <t>S6400500</t>
  </si>
  <si>
    <t>Settled Mat &amp; Supp - Parts</t>
  </si>
  <si>
    <t>S6400505</t>
  </si>
  <si>
    <t>Settled Mat &amp; Supp - Part Repairs</t>
  </si>
  <si>
    <t>S6400510</t>
  </si>
  <si>
    <t>S6400520</t>
  </si>
  <si>
    <t>Settled Mat &amp; Supp - Obsolete Inventory</t>
  </si>
  <si>
    <t>S6400521</t>
  </si>
  <si>
    <t>Settled Mat &amp; Supp - Defective Inventory</t>
  </si>
  <si>
    <t>S6400530</t>
  </si>
  <si>
    <t>S6401000</t>
  </si>
  <si>
    <t>S6401100</t>
  </si>
  <si>
    <t>S6401200</t>
  </si>
  <si>
    <t>Settled Materials Price Differences</t>
  </si>
  <si>
    <t>S6401300</t>
  </si>
  <si>
    <t>Settled Re-Stock Salvage</t>
  </si>
  <si>
    <t>S6408999</t>
  </si>
  <si>
    <t>S6409000</t>
  </si>
  <si>
    <t>Settled Materials &amp; Supplies Expense to BS</t>
  </si>
  <si>
    <t>S6500000</t>
  </si>
  <si>
    <t>S6500010</t>
  </si>
  <si>
    <t>S6500015</t>
  </si>
  <si>
    <t>S6500020</t>
  </si>
  <si>
    <t>Settled Transportation - Trailers</t>
  </si>
  <si>
    <t>S6500030</t>
  </si>
  <si>
    <t>Settled Transportation - Off-Road</t>
  </si>
  <si>
    <t>S6500040</t>
  </si>
  <si>
    <t>Settled Transportation - Coal Handling</t>
  </si>
  <si>
    <t>S6500050</t>
  </si>
  <si>
    <t>Settled Transportation - Personnel Transport</t>
  </si>
  <si>
    <t>S6500810</t>
  </si>
  <si>
    <t>Settled Transportation - Vehicle Depreciation</t>
  </si>
  <si>
    <t>S6508999</t>
  </si>
  <si>
    <t>S6509000</t>
  </si>
  <si>
    <t>Settled Transportation Expense to Balance Sheet</t>
  </si>
  <si>
    <t>S6700000</t>
  </si>
  <si>
    <t>Settled Insurance Expense</t>
  </si>
  <si>
    <t>S6700400</t>
  </si>
  <si>
    <t>S6700500</t>
  </si>
  <si>
    <t>Settled Insurance - Automobile</t>
  </si>
  <si>
    <t>S6700501</t>
  </si>
  <si>
    <t>Settled Insurance - Blanket Accident</t>
  </si>
  <si>
    <t>S6700502</t>
  </si>
  <si>
    <t>S6700503</t>
  </si>
  <si>
    <t>S6700504</t>
  </si>
  <si>
    <t>S6700505</t>
  </si>
  <si>
    <t>S6700506</t>
  </si>
  <si>
    <t>S6700507</t>
  </si>
  <si>
    <t>S6700508</t>
  </si>
  <si>
    <t>S6700509</t>
  </si>
  <si>
    <t>S6700510</t>
  </si>
  <si>
    <t>S6700511</t>
  </si>
  <si>
    <t>Settled Insurance - Mobile Equipment Rental</t>
  </si>
  <si>
    <t>S6700512</t>
  </si>
  <si>
    <t>Settled Insurance - Political Risk</t>
  </si>
  <si>
    <t>S6700513</t>
  </si>
  <si>
    <t>Settled Insurance - Practices Liability</t>
  </si>
  <si>
    <t>S6700514</t>
  </si>
  <si>
    <t>S6700515</t>
  </si>
  <si>
    <t>S6700516</t>
  </si>
  <si>
    <t>S6700517</t>
  </si>
  <si>
    <t>S6700518</t>
  </si>
  <si>
    <t>S6700519</t>
  </si>
  <si>
    <t>S6700520</t>
  </si>
  <si>
    <t>Settled Insurance - Workers Compensation - State</t>
  </si>
  <si>
    <t>S6700521</t>
  </si>
  <si>
    <t>S6700599</t>
  </si>
  <si>
    <t>S6709000</t>
  </si>
  <si>
    <t>Settled Insurance Expense to Balance Sheet</t>
  </si>
  <si>
    <t>S6710000</t>
  </si>
  <si>
    <t>Settled Rent Expense</t>
  </si>
  <si>
    <t>S6710020</t>
  </si>
  <si>
    <t>S6710030</t>
  </si>
  <si>
    <t>Settled Short-term Rent - Office Equipmement</t>
  </si>
  <si>
    <t>S6710040</t>
  </si>
  <si>
    <t>S6710050</t>
  </si>
  <si>
    <t>Settled Short-term Rent - Right of way</t>
  </si>
  <si>
    <t>S6710060</t>
  </si>
  <si>
    <t>Settled Short-term Rent - Vehicle</t>
  </si>
  <si>
    <t>S6710700</t>
  </si>
  <si>
    <t>S6710800</t>
  </si>
  <si>
    <t>S6719000</t>
  </si>
  <si>
    <t>Settled Short-term Rent Expense to BS</t>
  </si>
  <si>
    <t>S6720000</t>
  </si>
  <si>
    <t>Settled Lease Expense</t>
  </si>
  <si>
    <t>S6720010</t>
  </si>
  <si>
    <t>S6720020</t>
  </si>
  <si>
    <t>Settled Long-term Lease - Non-Office Equipment</t>
  </si>
  <si>
    <t>S6720030</t>
  </si>
  <si>
    <t>Settled Long-term Lease - Office Equipment</t>
  </si>
  <si>
    <t>S6720040</t>
  </si>
  <si>
    <t>Settled Long-term Lease - Port Services</t>
  </si>
  <si>
    <t>S6720050</t>
  </si>
  <si>
    <t>Settled Long-term Lease - Vehicle</t>
  </si>
  <si>
    <t>S6720060</t>
  </si>
  <si>
    <t>S6720800</t>
  </si>
  <si>
    <t>S6729000</t>
  </si>
  <si>
    <t>Settled Long-term Lease Expense to BS</t>
  </si>
  <si>
    <t>S6730000</t>
  </si>
  <si>
    <t>S6730010</t>
  </si>
  <si>
    <t>Settled Utilities - Electricity</t>
  </si>
  <si>
    <t>S6730020</t>
  </si>
  <si>
    <t>Settled Utilities - Gas</t>
  </si>
  <si>
    <t>S6730030</t>
  </si>
  <si>
    <t>S6730050</t>
  </si>
  <si>
    <t>S6730060</t>
  </si>
  <si>
    <t>S6730800</t>
  </si>
  <si>
    <t>Settled Utilities - Other</t>
  </si>
  <si>
    <t>S6739000</t>
  </si>
  <si>
    <t>Settled Utilities Expense to Balance Sheet</t>
  </si>
  <si>
    <t>S6780000</t>
  </si>
  <si>
    <t>S6780020</t>
  </si>
  <si>
    <t>Settled Miscellaneous Billing Exp Material</t>
  </si>
  <si>
    <t>S6780030</t>
  </si>
  <si>
    <t>S6780040</t>
  </si>
  <si>
    <t>S6780800</t>
  </si>
  <si>
    <t>S6789000</t>
  </si>
  <si>
    <t>Settled Miscellaneous Billing Exp to Balance Sheet</t>
  </si>
  <si>
    <t>S6790000</t>
  </si>
  <si>
    <t>S6790010</t>
  </si>
  <si>
    <t>S6790020</t>
  </si>
  <si>
    <t>S6790030</t>
  </si>
  <si>
    <t>S6790040</t>
  </si>
  <si>
    <t>S6790050</t>
  </si>
  <si>
    <t>S6790055</t>
  </si>
  <si>
    <t>S6790060</t>
  </si>
  <si>
    <t>S6790090</t>
  </si>
  <si>
    <t>S6790091</t>
  </si>
  <si>
    <t>S6790092</t>
  </si>
  <si>
    <t>S6790099</t>
  </si>
  <si>
    <t>Settled In-Kind Donations</t>
  </si>
  <si>
    <t>S6790100</t>
  </si>
  <si>
    <t>Settled Fees - AMM (Guatemala)</t>
  </si>
  <si>
    <t>S6790101</t>
  </si>
  <si>
    <t>S6790102</t>
  </si>
  <si>
    <t>S6790103</t>
  </si>
  <si>
    <t>S6790104</t>
  </si>
  <si>
    <t>Settled Fees - Stock Exchange</t>
  </si>
  <si>
    <t>S6790105</t>
  </si>
  <si>
    <t>Settled Fees - Transmission Line - Spot</t>
  </si>
  <si>
    <t>S6790199</t>
  </si>
  <si>
    <t>S6790200</t>
  </si>
  <si>
    <t>S6790210</t>
  </si>
  <si>
    <t>S6790220</t>
  </si>
  <si>
    <t>S6790230</t>
  </si>
  <si>
    <t>S6790250</t>
  </si>
  <si>
    <t>S6790255</t>
  </si>
  <si>
    <t>S6790260</t>
  </si>
  <si>
    <t>Settled Settlements/Claims Expense</t>
  </si>
  <si>
    <t>S6790270</t>
  </si>
  <si>
    <t>Settled Transfer Agent</t>
  </si>
  <si>
    <t>S6790280</t>
  </si>
  <si>
    <t>Settled Stadium - Food</t>
  </si>
  <si>
    <t>S6790281</t>
  </si>
  <si>
    <t>Settled Stadium - Other</t>
  </si>
  <si>
    <t>S6790300</t>
  </si>
  <si>
    <t>Settled Cash Discounts Taken</t>
  </si>
  <si>
    <t>S6790305</t>
  </si>
  <si>
    <t>S6790310</t>
  </si>
  <si>
    <t>S6790315</t>
  </si>
  <si>
    <t>Settled I&amp;D Allocated to Capital</t>
  </si>
  <si>
    <t>S6790320</t>
  </si>
  <si>
    <t>S6790321</t>
  </si>
  <si>
    <t>S6790322</t>
  </si>
  <si>
    <t>S6790323</t>
  </si>
  <si>
    <t>S6790324</t>
  </si>
  <si>
    <t>Settled Engineering &amp;Supervisory Allocation</t>
  </si>
  <si>
    <t>S6790325</t>
  </si>
  <si>
    <t>Settled Testing &amp; Installation Allocation</t>
  </si>
  <si>
    <t>S6790326</t>
  </si>
  <si>
    <t>Settled Facilities Allocation</t>
  </si>
  <si>
    <t>S6790327</t>
  </si>
  <si>
    <t>Settled Engineering&amp;Supervisory-Contractor Alloc</t>
  </si>
  <si>
    <t>S6790700</t>
  </si>
  <si>
    <t>S6790701</t>
  </si>
  <si>
    <t>Settled Intercompany Subsidiary Credit - Alloc</t>
  </si>
  <si>
    <t>S6790702</t>
  </si>
  <si>
    <t>Settled Intercompany Fee</t>
  </si>
  <si>
    <t>S6790703</t>
  </si>
  <si>
    <t>Settled Intercompany Standard Labor</t>
  </si>
  <si>
    <t>S6790704</t>
  </si>
  <si>
    <t>S6790705</t>
  </si>
  <si>
    <t>Settled Intercompany Print Shop Charges</t>
  </si>
  <si>
    <t>S6790706</t>
  </si>
  <si>
    <t>Settled Intercompany Record Retention &amp; Mail</t>
  </si>
  <si>
    <t>S6790707</t>
  </si>
  <si>
    <t>Settled Interco-Direct Costs from Service Co</t>
  </si>
  <si>
    <t>S6790708</t>
  </si>
  <si>
    <t>Settled Interco-Indirect Costs from Service Co</t>
  </si>
  <si>
    <t>S6790709</t>
  </si>
  <si>
    <t>Settled Intercompany - Asset Usage Fee</t>
  </si>
  <si>
    <t>S6790800</t>
  </si>
  <si>
    <t>S6790801</t>
  </si>
  <si>
    <t>Settled Other Operational Expense - GAAP</t>
  </si>
  <si>
    <t>S6790802</t>
  </si>
  <si>
    <t>Settled Other Miscellaneous Expense - Below</t>
  </si>
  <si>
    <t>S6791000</t>
  </si>
  <si>
    <t>S6791040</t>
  </si>
  <si>
    <t>Settled Recoverable Conservation O&amp;M</t>
  </si>
  <si>
    <t>S6791050</t>
  </si>
  <si>
    <t>Settled Recoverable ECRC O&amp;M</t>
  </si>
  <si>
    <t>S6791090</t>
  </si>
  <si>
    <t>Settled Recoverable SPPCRC O&amp;M</t>
  </si>
  <si>
    <t>S6798000</t>
  </si>
  <si>
    <t>Settled Restructuring Charges</t>
  </si>
  <si>
    <t>S6798999</t>
  </si>
  <si>
    <t>S6799000</t>
  </si>
  <si>
    <t>Settled Other Operational Expense to BS</t>
  </si>
  <si>
    <t>S6799100</t>
  </si>
  <si>
    <t>Settled IT Charges to the Balance Sheet</t>
  </si>
  <si>
    <t>S6799101</t>
  </si>
  <si>
    <t>Settled Facility Charges to the Balance Sheet</t>
  </si>
  <si>
    <t>S6799102</t>
  </si>
  <si>
    <t>Settled Telecom Charges to the Balance Sheet</t>
  </si>
  <si>
    <t>S6799103</t>
  </si>
  <si>
    <t>Settled Corporate Overhead Allocation to</t>
  </si>
  <si>
    <t>S6799104</t>
  </si>
  <si>
    <t>Settled Make Ready Charges to the Balance Sheet</t>
  </si>
  <si>
    <t>S6799105</t>
  </si>
  <si>
    <t>Settled Fleet Charges to the Balance Sheet</t>
  </si>
  <si>
    <t>S6799106</t>
  </si>
  <si>
    <t>Settled Small Tools Charges to the BS</t>
  </si>
  <si>
    <t>S6799107</t>
  </si>
  <si>
    <t>Settled Stores Clearing Charges to the BS</t>
  </si>
  <si>
    <t>S6799108</t>
  </si>
  <si>
    <t>Settled Self Help Charges to the Balance Sheet</t>
  </si>
  <si>
    <t>S6799109</t>
  </si>
  <si>
    <t>Settled Supervisory &amp; Management Chgs to BS</t>
  </si>
  <si>
    <t>S6799110</t>
  </si>
  <si>
    <t>Settled HR Charges to the Balance Sheet</t>
  </si>
  <si>
    <t>S6799111</t>
  </si>
  <si>
    <t>Settled TSI Services Charges to the BS</t>
  </si>
  <si>
    <t>S6799112</t>
  </si>
  <si>
    <t>Settled Procurement Charges to the BS</t>
  </si>
  <si>
    <t>S6799113</t>
  </si>
  <si>
    <t>Settled Testing &amp; Installation Chgs to BS</t>
  </si>
  <si>
    <t>S6799200</t>
  </si>
  <si>
    <t>Settled TSI Capital Charges to the BS</t>
  </si>
  <si>
    <t>S6800000</t>
  </si>
  <si>
    <t>Settled Amortization Expense</t>
  </si>
  <si>
    <t>S6800010</t>
  </si>
  <si>
    <t>Settled Amortization - Utility Plant</t>
  </si>
  <si>
    <t>S6800020</t>
  </si>
  <si>
    <t>Settled Amortization - Non-Utility Property</t>
  </si>
  <si>
    <t>S6800030</t>
  </si>
  <si>
    <t>Settled Amortization - Viability Study</t>
  </si>
  <si>
    <t>S6800040</t>
  </si>
  <si>
    <t>Settled Amortization - Acquisition Adjustment A</t>
  </si>
  <si>
    <t>S6800045</t>
  </si>
  <si>
    <t>Settled Amortization - Acquisition Adjustment B</t>
  </si>
  <si>
    <t>S6800050</t>
  </si>
  <si>
    <t>Settled Amortization - Environmental Rem</t>
  </si>
  <si>
    <t>S6800060</t>
  </si>
  <si>
    <t>Settled Amortization - Intangible Asset</t>
  </si>
  <si>
    <t>S6800070</t>
  </si>
  <si>
    <t>Settled Amortization - PPA Option</t>
  </si>
  <si>
    <t>S6800080</t>
  </si>
  <si>
    <t>Settled Amortization - Start up Costs</t>
  </si>
  <si>
    <t>S6800090</t>
  </si>
  <si>
    <t>Settled Amortization - Regulatory Debits</t>
  </si>
  <si>
    <t>S6800100</t>
  </si>
  <si>
    <t>Settled Amortization - Regulatory Credit</t>
  </si>
  <si>
    <t>S6800110</t>
  </si>
  <si>
    <t>Settled Amortization - OUC Transmission</t>
  </si>
  <si>
    <t>S6800120</t>
  </si>
  <si>
    <t>S6800280</t>
  </si>
  <si>
    <t>Settled Amortization - ROW Transmission</t>
  </si>
  <si>
    <t>S6800281</t>
  </si>
  <si>
    <t>Settled Amortization - ROW Distribution</t>
  </si>
  <si>
    <t>S6800282</t>
  </si>
  <si>
    <t>Settled Amortization - IMP Regulatory Asset</t>
  </si>
  <si>
    <t>S6800800</t>
  </si>
  <si>
    <t>Settled Amortization - Other</t>
  </si>
  <si>
    <t>S6809000</t>
  </si>
  <si>
    <t>Settled Amortization Expense to Balance Sheet</t>
  </si>
  <si>
    <t>S6810000</t>
  </si>
  <si>
    <t>Settled Depreciation Expense</t>
  </si>
  <si>
    <t>S6810010</t>
  </si>
  <si>
    <t>S6810020</t>
  </si>
  <si>
    <t>Settled Depreciation - Non-Utility Property ATL</t>
  </si>
  <si>
    <t>S6810025</t>
  </si>
  <si>
    <t>S6810030</t>
  </si>
  <si>
    <t>Settled Depreciation - ARO Asset</t>
  </si>
  <si>
    <t>S6810040</t>
  </si>
  <si>
    <t>Settled Depreciation - ARO Accretion</t>
  </si>
  <si>
    <t>S6810050</t>
  </si>
  <si>
    <t>S6810060</t>
  </si>
  <si>
    <t>Settled Depreciation - Dismantling Accrual</t>
  </si>
  <si>
    <t>S6810071</t>
  </si>
  <si>
    <t>Settled Depreciation - CI/BSR Rider</t>
  </si>
  <si>
    <t>S6810090</t>
  </si>
  <si>
    <t>S6810120</t>
  </si>
  <si>
    <t>Settled Depreciation - Fuel Clause Asset</t>
  </si>
  <si>
    <t>S6810140</t>
  </si>
  <si>
    <t>S6810200</t>
  </si>
  <si>
    <t>Settled Depreciation - Non-Refundable CIAC</t>
  </si>
  <si>
    <t>S6810800</t>
  </si>
  <si>
    <t>Settled Depreciation - Other</t>
  </si>
  <si>
    <t>S6810801</t>
  </si>
  <si>
    <t>Settled Depreciation - Other - GAAP adju</t>
  </si>
  <si>
    <t>S6810802</t>
  </si>
  <si>
    <t>Settled Depreciation - Other - Leased Assets</t>
  </si>
  <si>
    <t>S6819000</t>
  </si>
  <si>
    <t>Settled Depreciation Expense to Balance Sheet</t>
  </si>
  <si>
    <t>S6820000</t>
  </si>
  <si>
    <t>Settled Asset Impairment</t>
  </si>
  <si>
    <t>S6820100</t>
  </si>
  <si>
    <t>Settled Goodwill Impairment</t>
  </si>
  <si>
    <t>S6900000</t>
  </si>
  <si>
    <t>Settled Taxes Other Than Income</t>
  </si>
  <si>
    <t>S6900010</t>
  </si>
  <si>
    <t>S6900020</t>
  </si>
  <si>
    <t>Settled TOTI - Foreign Withholding Tax</t>
  </si>
  <si>
    <t>S6900030</t>
  </si>
  <si>
    <t>S6900040</t>
  </si>
  <si>
    <t>S6900045</t>
  </si>
  <si>
    <t>Settled TOTI - Payroll Tax - Capitalized</t>
  </si>
  <si>
    <t>S6900048</t>
  </si>
  <si>
    <t>S6900049</t>
  </si>
  <si>
    <t>S6900050</t>
  </si>
  <si>
    <t>Settled TOTI - Social Security - IGSS</t>
  </si>
  <si>
    <t>S6900060</t>
  </si>
  <si>
    <t>S6900061</t>
  </si>
  <si>
    <t>Settled TOTI - Property Tax - Above the line - G</t>
  </si>
  <si>
    <t>S6900065</t>
  </si>
  <si>
    <t>S6900070</t>
  </si>
  <si>
    <t>S6900080</t>
  </si>
  <si>
    <t>S6900090</t>
  </si>
  <si>
    <t>Settled TOTI - Stamp Tax</t>
  </si>
  <si>
    <t>S6900100</t>
  </si>
  <si>
    <t>Settled TOTI - State Intangible Gov't Leasehold</t>
  </si>
  <si>
    <t>S6900110</t>
  </si>
  <si>
    <t>S6900120</t>
  </si>
  <si>
    <t>S6900800</t>
  </si>
  <si>
    <t>Settled Taxes other than income - Other</t>
  </si>
  <si>
    <t>S6909000</t>
  </si>
  <si>
    <t>Settled Taxes other than income Exp to BS</t>
  </si>
  <si>
    <t>S7000000</t>
  </si>
  <si>
    <t>Settled Interest Income</t>
  </si>
  <si>
    <t>S7000080</t>
  </si>
  <si>
    <t>Settled Interest Inc - Dividends</t>
  </si>
  <si>
    <t>S7000090</t>
  </si>
  <si>
    <t>Settled Interest Inc - Deferred Cost Recovery</t>
  </si>
  <si>
    <t>S7000220</t>
  </si>
  <si>
    <t>S7000230</t>
  </si>
  <si>
    <t>S7000240</t>
  </si>
  <si>
    <t>Settled Interest Inc - Defd Conservation Clause</t>
  </si>
  <si>
    <t>S7000250</t>
  </si>
  <si>
    <t>Settled Interest Inc - Defd Environmental Clause</t>
  </si>
  <si>
    <t>S7000260</t>
  </si>
  <si>
    <t>Settled Interest Inc - Defd Purchased Gas Adj Clause</t>
  </si>
  <si>
    <t>S7000270</t>
  </si>
  <si>
    <t>Settled Interest Inc - Defd Competitive Rate Adj Clause</t>
  </si>
  <si>
    <t>S7000271</t>
  </si>
  <si>
    <t>Settled Interest Inc - Defd CI/BSR Rider</t>
  </si>
  <si>
    <t>S7000290</t>
  </si>
  <si>
    <t>S7000291</t>
  </si>
  <si>
    <t>S7000700</t>
  </si>
  <si>
    <t>S7000800</t>
  </si>
  <si>
    <t>S7009000</t>
  </si>
  <si>
    <t>Settled Interest Income to Balance Sheet</t>
  </si>
  <si>
    <t>S7100000</t>
  </si>
  <si>
    <t>Settled Other Income</t>
  </si>
  <si>
    <t>S7100010</t>
  </si>
  <si>
    <t>Settled Allowance for other funds AFUDC</t>
  </si>
  <si>
    <t>S7100015</t>
  </si>
  <si>
    <t>Settled Capitalized AFUDC Equity</t>
  </si>
  <si>
    <t>S7100020</t>
  </si>
  <si>
    <t>Settled Basic Ordering Agreement</t>
  </si>
  <si>
    <t>S7100400</t>
  </si>
  <si>
    <t>S7100410</t>
  </si>
  <si>
    <t>Settled Gain/(Loss) Sale of Investments</t>
  </si>
  <si>
    <t>S7100420</t>
  </si>
  <si>
    <t>Settled Gain/(Loss) Derivative Trading</t>
  </si>
  <si>
    <t>S7100430</t>
  </si>
  <si>
    <t>Settled Gain/(Loss) Debt Extinguishment</t>
  </si>
  <si>
    <t>S7100440</t>
  </si>
  <si>
    <t>Settled Gain/(Loss) Translation Adjustment USGAA</t>
  </si>
  <si>
    <t>S7100700</t>
  </si>
  <si>
    <t>Settled Oth Inc/Exp - Intercompany</t>
  </si>
  <si>
    <t>S7100800</t>
  </si>
  <si>
    <t>Settled Oth Inc/Exp - Miscellaneous</t>
  </si>
  <si>
    <t>S7101000</t>
  </si>
  <si>
    <t>S7101100</t>
  </si>
  <si>
    <t>Settled Amortization of gain on reaquired debt</t>
  </si>
  <si>
    <t>S7102000</t>
  </si>
  <si>
    <t>Settled Currency Adjustment - Realized Gain</t>
  </si>
  <si>
    <t>S7102100</t>
  </si>
  <si>
    <t>Settled Currency Adjustment - Unrealized Gain</t>
  </si>
  <si>
    <t>S7103010</t>
  </si>
  <si>
    <t>Settled Coal Sales</t>
  </si>
  <si>
    <t>S7103020</t>
  </si>
  <si>
    <t>Settled Jobbing Revenue</t>
  </si>
  <si>
    <t>S7103030</t>
  </si>
  <si>
    <t>S7103035</t>
  </si>
  <si>
    <t>S7103040</t>
  </si>
  <si>
    <t>S7103050</t>
  </si>
  <si>
    <t>Settled Tree Trimming Revenue</t>
  </si>
  <si>
    <t>S7103060</t>
  </si>
  <si>
    <t>Settled CIAC (Capital Work Order Credit)</t>
  </si>
  <si>
    <t>S7103070</t>
  </si>
  <si>
    <t>Settled MSEA/MEP Credits</t>
  </si>
  <si>
    <t>S7103080</t>
  </si>
  <si>
    <t>SettledAsset Optimizations</t>
  </si>
  <si>
    <t>S7103081</t>
  </si>
  <si>
    <t>Settled Utility Energy Service Contracts</t>
  </si>
  <si>
    <t>S7109000</t>
  </si>
  <si>
    <t>Settled Other Income to Balance Sheet</t>
  </si>
  <si>
    <t>S7200000</t>
  </si>
  <si>
    <t>Settled Other Expense</t>
  </si>
  <si>
    <t>S7200800</t>
  </si>
  <si>
    <t>Settled Other Expense - Miscellaneous</t>
  </si>
  <si>
    <t>S7201000</t>
  </si>
  <si>
    <t>Settled Loss Sale of Utility Property</t>
  </si>
  <si>
    <t>S7201001</t>
  </si>
  <si>
    <t>Settled Loss on Disposal of Fixed Assets</t>
  </si>
  <si>
    <t>S7201100</t>
  </si>
  <si>
    <t>S7202000</t>
  </si>
  <si>
    <t>Settled Currency Adjustment - Realized Loss</t>
  </si>
  <si>
    <t>S7202100</t>
  </si>
  <si>
    <t>Settled Currency Adjustment - Unrealized Loss</t>
  </si>
  <si>
    <t>S7203010</t>
  </si>
  <si>
    <t>Settled Cost of Coal Sales</t>
  </si>
  <si>
    <t>S7203020</t>
  </si>
  <si>
    <t>Settled Jobbing Expense</t>
  </si>
  <si>
    <t>S7203030</t>
  </si>
  <si>
    <t>Settled Zap Cap for Business Expense</t>
  </si>
  <si>
    <t>S7203040</t>
  </si>
  <si>
    <t>Settled Residential Zap Cap Expense</t>
  </si>
  <si>
    <t>S7203050</t>
  </si>
  <si>
    <t>Settled Tree Trimming Expense</t>
  </si>
  <si>
    <t>S7204010</t>
  </si>
  <si>
    <t>Settled Pension Expense - Non-service cost</t>
  </si>
  <si>
    <t>S7204020</t>
  </si>
  <si>
    <t>Settled Post Retirement FAS106 Active Exp</t>
  </si>
  <si>
    <t>S7204030</t>
  </si>
  <si>
    <t>Settled Post Retirement FAS106 RetireeExp</t>
  </si>
  <si>
    <t>S7204040</t>
  </si>
  <si>
    <t>Settled Sup Exec Retirement Exp (SERP) N</t>
  </si>
  <si>
    <t>S7204050</t>
  </si>
  <si>
    <t>Settled Restoration Benefit Plan Exp - N</t>
  </si>
  <si>
    <t>S7209000</t>
  </si>
  <si>
    <t>Settled Other Expense to Balance Sheet</t>
  </si>
  <si>
    <t>S7300000</t>
  </si>
  <si>
    <t>Settled Equity Earnings</t>
  </si>
  <si>
    <t>S7301000</t>
  </si>
  <si>
    <t>Settled Equity Earnings - Consolidated A</t>
  </si>
  <si>
    <t>S7302000</t>
  </si>
  <si>
    <t>Settled Equity Earnings - Unconsolidated</t>
  </si>
  <si>
    <t>S7309000</t>
  </si>
  <si>
    <t>Settled Equity Earnings to Balance Sheet</t>
  </si>
  <si>
    <t>S7500000</t>
  </si>
  <si>
    <t>Settled Interest Expense</t>
  </si>
  <si>
    <t>S7500010</t>
  </si>
  <si>
    <t>Settled Interest Exp - Allow for Borrowed</t>
  </si>
  <si>
    <t>S7500015</t>
  </si>
  <si>
    <t>Settled Capitalized AFUDC Debt</t>
  </si>
  <si>
    <t>S7500016</t>
  </si>
  <si>
    <t>Settled Capitalized Interest to PP&amp;E</t>
  </si>
  <si>
    <t>S7500020</t>
  </si>
  <si>
    <t>Settled Interest Exp - AR Securitization</t>
  </si>
  <si>
    <t>S7500030</t>
  </si>
  <si>
    <t>S7500040</t>
  </si>
  <si>
    <t>Settled Interest Exp - Deferred Cost Recovery</t>
  </si>
  <si>
    <t>S7500050</t>
  </si>
  <si>
    <t>Settled Interest Exp - Derivative Interest</t>
  </si>
  <si>
    <t>S7500060</t>
  </si>
  <si>
    <t>S7500080</t>
  </si>
  <si>
    <t>S7500085</t>
  </si>
  <si>
    <t>Settled Interest Exp - Amortiz of Fees Credit</t>
  </si>
  <si>
    <t>S7500090</t>
  </si>
  <si>
    <t>S7500100</t>
  </si>
  <si>
    <t>Settled Interest Exp - Taxes</t>
  </si>
  <si>
    <t>S7500110</t>
  </si>
  <si>
    <t>S7500111</t>
  </si>
  <si>
    <t>Settled Interest Exp - Term Loan Long-term Debt</t>
  </si>
  <si>
    <t>S7500120</t>
  </si>
  <si>
    <t>S7500125</t>
  </si>
  <si>
    <t>Settled Amortization of debt premium</t>
  </si>
  <si>
    <t>S7500130</t>
  </si>
  <si>
    <t>S7500131</t>
  </si>
  <si>
    <t>Settled Interest Exp - Amortiz of Fees on Term Loan LT Debt</t>
  </si>
  <si>
    <t>S7500190</t>
  </si>
  <si>
    <t>Settled Interest Exp - Capitalized Inter</t>
  </si>
  <si>
    <t>S7500220</t>
  </si>
  <si>
    <t>Settled Interest Exp - Defd Fuel Clause</t>
  </si>
  <si>
    <t>S7500230</t>
  </si>
  <si>
    <t>Settled Interest Exp - Defd Capacity Clause</t>
  </si>
  <si>
    <t>S7500240</t>
  </si>
  <si>
    <t>S7500250</t>
  </si>
  <si>
    <t>S7500260</t>
  </si>
  <si>
    <t>Settled Interest Exp - Defd Purchased Gas Adj Clause</t>
  </si>
  <si>
    <t>S7500271</t>
  </si>
  <si>
    <t>Settled Interest Exp - Defd CI/BSR Rider</t>
  </si>
  <si>
    <t>S7500290</t>
  </si>
  <si>
    <t>S7500291</t>
  </si>
  <si>
    <t>S7500700</t>
  </si>
  <si>
    <t>Settled Interest Exp - Intercompany</t>
  </si>
  <si>
    <t>S7500800</t>
  </si>
  <si>
    <t>Settled Interest Exp - Miscellaneous</t>
  </si>
  <si>
    <t>S7509000</t>
  </si>
  <si>
    <t>Settled Interest Expense to Balance Sheet</t>
  </si>
  <si>
    <t>S8000000</t>
  </si>
  <si>
    <t>Settled Income Tax Exp - Current</t>
  </si>
  <si>
    <t>S8000300</t>
  </si>
  <si>
    <t>Settled Federal Income Tax Expense</t>
  </si>
  <si>
    <t>S8000310</t>
  </si>
  <si>
    <t>Settled Federal Income Tax Expense - Above line</t>
  </si>
  <si>
    <t>S8000400</t>
  </si>
  <si>
    <t>Settled State Income Tax Expense</t>
  </si>
  <si>
    <t>S8000410</t>
  </si>
  <si>
    <t>Settled State Income Tax Expense - Above line</t>
  </si>
  <si>
    <t>S8000500</t>
  </si>
  <si>
    <t>Settled Income Tax Expense - Foreign</t>
  </si>
  <si>
    <t>S8009000</t>
  </si>
  <si>
    <t>Settled Income Tax Expense-Current  to BS</t>
  </si>
  <si>
    <t>S8010000</t>
  </si>
  <si>
    <t>Settled Income Tax Exp - Deferred</t>
  </si>
  <si>
    <t>S8010300</t>
  </si>
  <si>
    <t>Settled Deferred Federal Income Tax Exp</t>
  </si>
  <si>
    <t>S8010305</t>
  </si>
  <si>
    <t>Settled Deferred Federal Income Tax Exp Non Utl</t>
  </si>
  <si>
    <t>S8010310</t>
  </si>
  <si>
    <t>Settled Deferred Federal Income Tax Exp Cr</t>
  </si>
  <si>
    <t>S8010315</t>
  </si>
  <si>
    <t>Settled Deferred Federal Income Tax Exp Cr Non</t>
  </si>
  <si>
    <t>S8010320</t>
  </si>
  <si>
    <t>Settled DIT Federal Accelerated Amortiza</t>
  </si>
  <si>
    <t>S8010330</t>
  </si>
  <si>
    <t>S8010340</t>
  </si>
  <si>
    <t>Settled DIT Federal - Other Property</t>
  </si>
  <si>
    <t>S8010350</t>
  </si>
  <si>
    <t>Settled DIT Federal - Other Property - C</t>
  </si>
  <si>
    <t>S8010360</t>
  </si>
  <si>
    <t>Settled DIT Federal Accel Amort</t>
  </si>
  <si>
    <t>S8010400</t>
  </si>
  <si>
    <t>Settled Deferred State Income Tax Exp</t>
  </si>
  <si>
    <t>S8010405</t>
  </si>
  <si>
    <t>Settled Deferred State Income Tax Exp - Non Utl</t>
  </si>
  <si>
    <t>S8010410</t>
  </si>
  <si>
    <t>Settled Deferred State Income Tax Exp - Cr</t>
  </si>
  <si>
    <t>S8010415</t>
  </si>
  <si>
    <t>Settled Deferred State Income Tax Exp - Cr No Utl</t>
  </si>
  <si>
    <t>S8010420</t>
  </si>
  <si>
    <t>Settled DIT State Accelerated Amortization</t>
  </si>
  <si>
    <t>S8010430</t>
  </si>
  <si>
    <t>S8010440</t>
  </si>
  <si>
    <t>Settled DIT State - Other Property</t>
  </si>
  <si>
    <t>S8010450</t>
  </si>
  <si>
    <t>Settled DIT State - Other Property - Cr</t>
  </si>
  <si>
    <t>S8010500</t>
  </si>
  <si>
    <t>Settled Deferred Income Tax Expense - Foreign</t>
  </si>
  <si>
    <t>S8010600</t>
  </si>
  <si>
    <t>Settled Investment Tax Credit Amort - Utility</t>
  </si>
  <si>
    <t>S8010610</t>
  </si>
  <si>
    <t>Settled Investment Tax Credit Amort - Non Utility</t>
  </si>
  <si>
    <t>S8019000</t>
  </si>
  <si>
    <t>Settled Income Tax Expense-Deferred to BS</t>
  </si>
  <si>
    <t>S8200000</t>
  </si>
  <si>
    <t>Settled Non-controlling Interest</t>
  </si>
  <si>
    <t>S8200100</t>
  </si>
  <si>
    <t>Settled Non-Controlling Interest</t>
  </si>
  <si>
    <t>S8209000</t>
  </si>
  <si>
    <t>Settled Non-Controlling Interest  to BS</t>
  </si>
  <si>
    <t>CURR_REG_AST</t>
  </si>
  <si>
    <t>Regulatory assets - current</t>
  </si>
  <si>
    <t>FUEL_ASSET_IN</t>
  </si>
  <si>
    <t>Fuel Asset</t>
  </si>
  <si>
    <t>GAS_OTH_REV_DEFFCL</t>
  </si>
  <si>
    <t>Gas Other Revenues Deferred Clause Recovery Revenue</t>
  </si>
  <si>
    <t>INC_DISC_OPS</t>
  </si>
  <si>
    <t>Income (loss) from discontinued operations</t>
  </si>
  <si>
    <t>INC_DISC_OPS_NC</t>
  </si>
  <si>
    <t>Income from disc ops - non-controling interest</t>
  </si>
  <si>
    <t>INCTAX_PROV</t>
  </si>
  <si>
    <t>Income tax provision (benefit)</t>
  </si>
  <si>
    <t>INDUSTRIAL_NMGC_D</t>
  </si>
  <si>
    <t>Industrial NMGC Distribution</t>
  </si>
  <si>
    <t>INTERCO_CDLIA</t>
  </si>
  <si>
    <t>Current derivative liabilities - Intercompany</t>
  </si>
  <si>
    <t>LOSS_NET_TRANSAC</t>
  </si>
  <si>
    <t>Loss (Gain) on Sale. net of transaction related costs</t>
  </si>
  <si>
    <t>RETAIL_DEF_CAP_REV</t>
  </si>
  <si>
    <t>Retail Deferred Capacity Revenue</t>
  </si>
  <si>
    <t>RETAIL_DEF_CON_REV</t>
  </si>
  <si>
    <t>Retail Deferred Conservation Revenue</t>
  </si>
  <si>
    <t>RETAIL_DEF_ENV_REV</t>
  </si>
  <si>
    <t>Retail Deferred Environmental Revenue</t>
  </si>
  <si>
    <t>RETAIL_DEF_FUEL_REV</t>
  </si>
  <si>
    <t>Retail Deferred Fuel Revenue</t>
  </si>
  <si>
    <t>Short_Term_Debt</t>
  </si>
  <si>
    <t>Short Term Debt</t>
  </si>
  <si>
    <t>UNAM_DEBT_EXP</t>
  </si>
  <si>
    <t>Unamortized debt expense</t>
  </si>
  <si>
    <t>Q3 2023</t>
  </si>
  <si>
    <t>September 30, 2023</t>
  </si>
  <si>
    <t>TEC 10K 2023</t>
  </si>
  <si>
    <t>Stefan Zborovsky</t>
  </si>
  <si>
    <t>The Company has recorded lease expense for the three months ended September 30, 2023, as follows:</t>
  </si>
  <si>
    <t>YTD 2023</t>
  </si>
  <si>
    <r>
      <t>(1) Includes</t>
    </r>
    <r>
      <rPr>
        <b/>
        <sz val="10"/>
        <color rgb="FFFF0000"/>
        <rFont val="Calibri"/>
        <family val="2"/>
        <scheme val="minor"/>
      </rPr>
      <t xml:space="preserve"> $0.4 million</t>
    </r>
    <r>
      <rPr>
        <sz val="10"/>
        <color rgb="FF000000"/>
        <rFont val="Calibri"/>
        <family val="2"/>
        <scheme val="minor"/>
      </rPr>
      <t xml:space="preserve"> related to operating leases of less than 12 months in duration. Operating lease costs are recorded as ‘Operating, maintenance and general expenses’ on the Consolidated Statements of Income.</t>
    </r>
  </si>
  <si>
    <t>Quarter ended September 30, 2023</t>
  </si>
  <si>
    <r>
      <t xml:space="preserve">As of September 30, 2021, the Company has additional operating leases, primarily for </t>
    </r>
    <r>
      <rPr>
        <sz val="11"/>
        <color rgb="FFFF0000"/>
        <rFont val="Calibri"/>
        <family val="2"/>
        <scheme val="minor"/>
      </rPr>
      <t>______</t>
    </r>
    <r>
      <rPr>
        <sz val="10"/>
        <rFont val="Arial"/>
        <family val="2"/>
      </rPr>
      <t xml:space="preserve">, that have not yet commenced, totaling </t>
    </r>
    <r>
      <rPr>
        <b/>
        <sz val="11"/>
        <color rgb="FFFF0000"/>
        <rFont val="Calibri"/>
        <family val="2"/>
        <scheme val="minor"/>
      </rPr>
      <t>$xx million</t>
    </r>
    <r>
      <rPr>
        <sz val="10"/>
        <rFont val="Arial"/>
        <family val="2"/>
      </rPr>
      <t xml:space="preserve">. These operating leases will commence between fiscal year </t>
    </r>
    <r>
      <rPr>
        <b/>
        <sz val="11"/>
        <color rgb="FFFF0000"/>
        <rFont val="Calibri"/>
        <family val="2"/>
        <scheme val="minor"/>
      </rPr>
      <t>2021</t>
    </r>
    <r>
      <rPr>
        <sz val="10"/>
        <rFont val="Arial"/>
        <family val="2"/>
      </rPr>
      <t xml:space="preserve"> and fiscal year </t>
    </r>
    <r>
      <rPr>
        <b/>
        <sz val="11"/>
        <color rgb="FFFF0000"/>
        <rFont val="Calibri"/>
        <family val="2"/>
        <scheme val="minor"/>
      </rPr>
      <t>20xx</t>
    </r>
    <r>
      <rPr>
        <sz val="10"/>
        <rFont val="Arial"/>
        <family val="2"/>
      </rPr>
      <t xml:space="preserve"> with lease terms of x year to </t>
    </r>
    <r>
      <rPr>
        <b/>
        <sz val="11"/>
        <color rgb="FFFF0000"/>
        <rFont val="Calibri"/>
        <family val="2"/>
        <scheme val="minor"/>
      </rPr>
      <t xml:space="preserve">x </t>
    </r>
    <r>
      <rPr>
        <sz val="10"/>
        <rFont val="Arial"/>
        <family val="2"/>
      </rPr>
      <t>years.</t>
    </r>
  </si>
  <si>
    <t>Q1</t>
  </si>
  <si>
    <t>Q2</t>
  </si>
  <si>
    <t>Q3</t>
  </si>
  <si>
    <t>Q4</t>
  </si>
  <si>
    <t>YTD</t>
  </si>
  <si>
    <t>Pole Attachments:</t>
  </si>
  <si>
    <t>Bullfrog</t>
  </si>
  <si>
    <t>The current lease term expires in September 2025. There is</t>
  </si>
  <si>
    <t>no transfer of ownership at the end of the lease and no bargain</t>
  </si>
  <si>
    <t>purchase option . There are four renewal terms that could be</t>
  </si>
  <si>
    <t>exercised for a total of an additional 18 years. The company</t>
  </si>
  <si>
    <t>will not exercise the renewal options and, as Carlos Aldazabal</t>
  </si>
  <si>
    <t>explains in his prepared direct testimony, the company</t>
  </si>
  <si>
    <t>plans to move to new corporate offices in 2025.  </t>
  </si>
  <si>
    <t>DOCKET No. 20240026-EI</t>
  </si>
  <si>
    <t>Witness: C. Aldazabal / J. Chronister /</t>
  </si>
  <si>
    <t xml:space="preserve">              R. Latta /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</si>
</sst>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*\ #,##0.00;_(* \(#,##0.00\);_(* &quot;-&quot;_);\(@\)"/>
    <numFmt numFmtId="167" formatCode="_*\ #,##0.0;_(* \(#,##0.0\);_(* &quot;-&quot;_);\(@\)"/>
    <numFmt numFmtId="168" formatCode="_-* #,##0.00_-;\-* #,##0.00_-;_-* &quot;-&quot;??_-;_-@_-"/>
    <numFmt numFmtId="169" formatCode="_-* #,##0_-;\-* #,##0_-;_-* &quot;-&quot;??_-;_-@_-"/>
    <numFmt numFmtId="170" formatCode="[$-F800]dddd\,\ mmmm\ dd\,\ yyyy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theme="4" tint="-0.499984740745262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rgb="FF000099"/>
      <name val="Arial"/>
      <family val="2"/>
    </font>
    <font>
      <b/>
      <sz val="9"/>
      <color theme="3"/>
      <name val="Arial Black"/>
      <family val="2"/>
    </font>
    <font>
      <sz val="14"/>
      <color theme="0"/>
      <name val="Arial Black"/>
      <family val="2"/>
    </font>
    <font>
      <sz val="9"/>
      <color theme="0"/>
      <name val="Arial"/>
      <family val="2"/>
    </font>
    <font>
      <b/>
      <sz val="9"/>
      <color rgb="FFC00000"/>
      <name val="Arial Black"/>
      <family val="2"/>
    </font>
    <font>
      <sz val="16"/>
      <color theme="0"/>
      <name val="Arial Black"/>
      <family val="2"/>
    </font>
    <font>
      <sz val="9"/>
      <color theme="0"/>
      <name val="Arial Black"/>
      <family val="2"/>
    </font>
    <font>
      <b/>
      <sz val="8"/>
      <color theme="1"/>
      <name val="Arial Black"/>
      <family val="2"/>
    </font>
    <font>
      <sz val="11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Arial Black"/>
      <family val="2"/>
    </font>
    <font>
      <sz val="10"/>
      <color theme="1"/>
      <name val="Arial Black"/>
      <family val="2"/>
    </font>
    <font>
      <b/>
      <sz val="8"/>
      <color rgb="FF000000"/>
      <name val="Arial Black"/>
      <family val="2"/>
    </font>
    <font>
      <sz val="9"/>
      <color rgb="FF000000"/>
      <name val="Arial Black"/>
      <family val="2"/>
    </font>
    <font>
      <sz val="11"/>
      <color rgb="FF000000"/>
      <name val="Calibri"/>
      <family val="2"/>
    </font>
    <font>
      <sz val="11"/>
      <color rgb="FF000000"/>
      <name val="Arial Black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DD7EE"/>
        <bgColor rgb="FF000000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17" fillId="0" borderId="0"/>
    <xf numFmtId="0" fontId="17" fillId="0" borderId="0"/>
    <xf numFmtId="9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28">
    <xf numFmtId="0" fontId="0" fillId="0" borderId="0" xfId="0"/>
    <xf numFmtId="0" fontId="10" fillId="0" borderId="0" xfId="0" applyFont="1" applyAlignment="1">
      <alignment horizontal="center"/>
    </xf>
    <xf numFmtId="165" fontId="10" fillId="0" borderId="0" xfId="2" applyNumberFormat="1" applyFont="1" applyFill="1" applyBorder="1"/>
    <xf numFmtId="165" fontId="10" fillId="0" borderId="0" xfId="2" applyNumberFormat="1" applyFont="1" applyFill="1"/>
    <xf numFmtId="164" fontId="10" fillId="0" borderId="0" xfId="1" applyNumberFormat="1" applyFont="1" applyFill="1" applyBorder="1"/>
    <xf numFmtId="0" fontId="10" fillId="0" borderId="0" xfId="0" applyFont="1"/>
    <xf numFmtId="164" fontId="10" fillId="0" borderId="0" xfId="1" applyNumberFormat="1" applyFont="1" applyFill="1"/>
    <xf numFmtId="165" fontId="10" fillId="0" borderId="0" xfId="2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quotePrefix="1" applyFont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1" xfId="0" quotePrefix="1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165" fontId="10" fillId="0" borderId="0" xfId="2" applyNumberFormat="1" applyFont="1" applyFill="1" applyAlignment="1">
      <alignment horizontal="center"/>
    </xf>
    <xf numFmtId="0" fontId="10" fillId="0" borderId="0" xfId="3" applyFont="1" applyAlignment="1">
      <alignment horizontal="right" wrapText="1"/>
    </xf>
    <xf numFmtId="0" fontId="10" fillId="0" borderId="0" xfId="3" applyFont="1" applyAlignment="1">
      <alignment wrapText="1"/>
    </xf>
    <xf numFmtId="0" fontId="10" fillId="0" borderId="0" xfId="3" quotePrefix="1" applyFont="1" applyAlignment="1">
      <alignment horizontal="right" wrapText="1"/>
    </xf>
    <xf numFmtId="0" fontId="15" fillId="0" borderId="0" xfId="0" applyFont="1"/>
    <xf numFmtId="0" fontId="7" fillId="0" borderId="0" xfId="7"/>
    <xf numFmtId="0" fontId="9" fillId="0" borderId="0" xfId="0" applyFont="1"/>
    <xf numFmtId="166" fontId="16" fillId="0" borderId="0" xfId="0" applyNumberFormat="1" applyFont="1"/>
    <xf numFmtId="167" fontId="18" fillId="2" borderId="4" xfId="8" applyNumberFormat="1" applyFont="1" applyFill="1" applyBorder="1" applyAlignment="1">
      <alignment horizontal="right" vertical="top" wrapText="1"/>
    </xf>
    <xf numFmtId="0" fontId="19" fillId="0" borderId="5" xfId="0" applyFont="1" applyBorder="1" applyAlignment="1">
      <alignment vertical="center"/>
    </xf>
    <xf numFmtId="0" fontId="9" fillId="0" borderId="0" xfId="0" applyFont="1" applyAlignment="1">
      <alignment horizontal="center"/>
    </xf>
    <xf numFmtId="166" fontId="18" fillId="3" borderId="0" xfId="8" applyNumberFormat="1" applyFont="1" applyFill="1" applyAlignment="1">
      <alignment horizontal="right" vertical="top" wrapText="1"/>
    </xf>
    <xf numFmtId="0" fontId="20" fillId="3" borderId="6" xfId="7" applyFont="1" applyFill="1" applyBorder="1" applyAlignment="1">
      <alignment vertical="center" wrapText="1"/>
    </xf>
    <xf numFmtId="167" fontId="18" fillId="0" borderId="4" xfId="8" applyNumberFormat="1" applyFont="1" applyBorder="1" applyAlignment="1">
      <alignment horizontal="right" vertical="top" wrapText="1"/>
    </xf>
    <xf numFmtId="0" fontId="18" fillId="0" borderId="4" xfId="8" applyFont="1" applyBorder="1" applyAlignment="1">
      <alignment horizontal="right" vertical="top" wrapText="1"/>
    </xf>
    <xf numFmtId="167" fontId="18" fillId="0" borderId="4" xfId="8" applyNumberFormat="1" applyFont="1" applyBorder="1" applyAlignment="1" applyProtection="1">
      <alignment horizontal="right" vertical="top" wrapText="1"/>
      <protection locked="0"/>
    </xf>
    <xf numFmtId="0" fontId="18" fillId="0" borderId="4" xfId="8" applyFont="1" applyBorder="1" applyAlignment="1" applyProtection="1">
      <alignment horizontal="right" vertical="top" wrapText="1"/>
      <protection locked="0"/>
    </xf>
    <xf numFmtId="0" fontId="20" fillId="0" borderId="6" xfId="0" applyFont="1" applyBorder="1" applyAlignment="1">
      <alignment vertical="center" wrapText="1"/>
    </xf>
    <xf numFmtId="0" fontId="22" fillId="0" borderId="7" xfId="0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16" fillId="0" borderId="0" xfId="0" applyFont="1"/>
    <xf numFmtId="0" fontId="25" fillId="0" borderId="0" xfId="0" applyFont="1"/>
    <xf numFmtId="0" fontId="16" fillId="0" borderId="0" xfId="9" applyFont="1" applyAlignment="1">
      <alignment horizontal="right"/>
    </xf>
    <xf numFmtId="0" fontId="26" fillId="0" borderId="0" xfId="0" applyFont="1"/>
    <xf numFmtId="0" fontId="27" fillId="2" borderId="0" xfId="0" applyFont="1" applyFill="1"/>
    <xf numFmtId="0" fontId="28" fillId="2" borderId="0" xfId="0" applyFont="1" applyFill="1"/>
    <xf numFmtId="0" fontId="29" fillId="4" borderId="0" xfId="0" applyFont="1" applyFill="1" applyAlignment="1">
      <alignment horizontal="right"/>
    </xf>
    <xf numFmtId="14" fontId="29" fillId="0" borderId="0" xfId="0" applyNumberFormat="1" applyFont="1"/>
    <xf numFmtId="0" fontId="30" fillId="0" borderId="0" xfId="9" applyFont="1" applyAlignment="1">
      <alignment horizontal="left"/>
    </xf>
    <xf numFmtId="0" fontId="31" fillId="0" borderId="0" xfId="0" applyFont="1"/>
    <xf numFmtId="0" fontId="32" fillId="0" borderId="0" xfId="0" applyFont="1"/>
    <xf numFmtId="9" fontId="32" fillId="0" borderId="0" xfId="10" applyFont="1"/>
    <xf numFmtId="0" fontId="33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0" fontId="35" fillId="0" borderId="0" xfId="0" applyFont="1"/>
    <xf numFmtId="0" fontId="0" fillId="0" borderId="8" xfId="0" applyBorder="1"/>
    <xf numFmtId="14" fontId="0" fillId="0" borderId="8" xfId="0" quotePrefix="1" applyNumberFormat="1" applyBorder="1"/>
    <xf numFmtId="9" fontId="9" fillId="0" borderId="0" xfId="10"/>
    <xf numFmtId="0" fontId="9" fillId="0" borderId="8" xfId="0" applyFont="1" applyBorder="1"/>
    <xf numFmtId="14" fontId="0" fillId="0" borderId="8" xfId="0" applyNumberFormat="1" applyBorder="1"/>
    <xf numFmtId="0" fontId="36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7" borderId="12" xfId="0" applyFont="1" applyFill="1" applyBorder="1" applyAlignment="1">
      <alignment horizontal="center" vertical="center" wrapText="1"/>
    </xf>
    <xf numFmtId="0" fontId="38" fillId="7" borderId="10" xfId="0" applyFont="1" applyFill="1" applyBorder="1" applyAlignment="1">
      <alignment horizontal="center" vertical="center" wrapText="1"/>
    </xf>
    <xf numFmtId="9" fontId="9" fillId="7" borderId="13" xfId="10" applyFill="1" applyBorder="1"/>
    <xf numFmtId="10" fontId="9" fillId="5" borderId="0" xfId="10" applyNumberFormat="1" applyFill="1" applyAlignment="1">
      <alignment horizontal="center"/>
    </xf>
    <xf numFmtId="10" fontId="9" fillId="7" borderId="0" xfId="10" applyNumberFormat="1" applyFill="1"/>
    <xf numFmtId="10" fontId="9" fillId="5" borderId="0" xfId="10" applyNumberFormat="1" applyFill="1"/>
    <xf numFmtId="9" fontId="9" fillId="7" borderId="0" xfId="10" applyFill="1"/>
    <xf numFmtId="0" fontId="14" fillId="7" borderId="0" xfId="0" applyFont="1" applyFill="1"/>
    <xf numFmtId="43" fontId="39" fillId="7" borderId="0" xfId="10" applyNumberFormat="1" applyFont="1" applyFill="1"/>
    <xf numFmtId="169" fontId="14" fillId="7" borderId="0" xfId="0" applyNumberFormat="1" applyFont="1" applyFill="1"/>
    <xf numFmtId="10" fontId="39" fillId="7" borderId="0" xfId="10" applyNumberFormat="1" applyFont="1" applyFill="1"/>
    <xf numFmtId="0" fontId="14" fillId="0" borderId="0" xfId="0" applyFont="1"/>
    <xf numFmtId="43" fontId="14" fillId="0" borderId="0" xfId="1" applyFont="1"/>
    <xf numFmtId="9" fontId="39" fillId="0" borderId="0" xfId="10" applyFont="1"/>
    <xf numFmtId="0" fontId="40" fillId="0" borderId="0" xfId="0" applyFont="1" applyAlignment="1">
      <alignment vertical="center"/>
    </xf>
    <xf numFmtId="0" fontId="40" fillId="0" borderId="15" xfId="0" applyFont="1" applyBorder="1" applyAlignment="1">
      <alignment vertical="center" wrapText="1"/>
    </xf>
    <xf numFmtId="0" fontId="37" fillId="0" borderId="15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38" fillId="0" borderId="15" xfId="0" applyFont="1" applyBorder="1" applyAlignment="1">
      <alignment horizontal="right" vertical="center" wrapText="1"/>
    </xf>
    <xf numFmtId="0" fontId="37" fillId="0" borderId="0" xfId="0" applyFont="1" applyAlignment="1">
      <alignment horizontal="right" vertical="center"/>
    </xf>
    <xf numFmtId="0" fontId="32" fillId="0" borderId="0" xfId="0" applyFont="1" applyAlignment="1">
      <alignment horizontal="right"/>
    </xf>
    <xf numFmtId="43" fontId="41" fillId="2" borderId="0" xfId="1" applyFont="1" applyFill="1" applyAlignment="1">
      <alignment horizontal="right" vertical="center" wrapText="1"/>
    </xf>
    <xf numFmtId="0" fontId="40" fillId="0" borderId="5" xfId="0" applyFont="1" applyBorder="1" applyAlignment="1">
      <alignment vertical="center" wrapText="1"/>
    </xf>
    <xf numFmtId="0" fontId="37" fillId="0" borderId="5" xfId="0" applyFont="1" applyBorder="1" applyAlignment="1">
      <alignment horizontal="right" vertical="center"/>
    </xf>
    <xf numFmtId="0" fontId="32" fillId="0" borderId="5" xfId="0" applyFont="1" applyBorder="1" applyAlignment="1">
      <alignment horizontal="right" vertical="center" wrapText="1"/>
    </xf>
    <xf numFmtId="43" fontId="41" fillId="0" borderId="5" xfId="1" applyFont="1" applyBorder="1" applyAlignment="1">
      <alignment horizontal="right" vertical="center" wrapText="1"/>
    </xf>
    <xf numFmtId="43" fontId="41" fillId="2" borderId="5" xfId="1" applyFont="1" applyFill="1" applyBorder="1" applyAlignment="1">
      <alignment horizontal="right" vertical="center" wrapText="1"/>
    </xf>
    <xf numFmtId="0" fontId="40" fillId="0" borderId="16" xfId="0" applyFont="1" applyBorder="1" applyAlignment="1">
      <alignment vertical="center" wrapText="1"/>
    </xf>
    <xf numFmtId="0" fontId="37" fillId="0" borderId="16" xfId="0" applyFont="1" applyBorder="1" applyAlignment="1">
      <alignment horizontal="right" vertical="center" wrapText="1"/>
    </xf>
    <xf numFmtId="0" fontId="32" fillId="0" borderId="16" xfId="0" applyFont="1" applyBorder="1" applyAlignment="1">
      <alignment horizontal="right" vertical="center" wrapText="1"/>
    </xf>
    <xf numFmtId="43" fontId="41" fillId="2" borderId="16" xfId="1" applyFont="1" applyFill="1" applyBorder="1" applyAlignment="1">
      <alignment horizontal="right" vertical="center" wrapText="1"/>
    </xf>
    <xf numFmtId="0" fontId="40" fillId="0" borderId="17" xfId="0" applyFont="1" applyBorder="1" applyAlignment="1">
      <alignment vertical="center" wrapText="1"/>
    </xf>
    <xf numFmtId="0" fontId="37" fillId="0" borderId="17" xfId="0" applyFont="1" applyBorder="1" applyAlignment="1">
      <alignment horizontal="right" vertical="center" wrapText="1"/>
    </xf>
    <xf numFmtId="0" fontId="37" fillId="0" borderId="17" xfId="0" applyFont="1" applyBorder="1" applyAlignment="1">
      <alignment horizontal="right" vertical="center"/>
    </xf>
    <xf numFmtId="43" fontId="37" fillId="0" borderId="17" xfId="1" applyFont="1" applyBorder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43" fontId="32" fillId="0" borderId="0" xfId="0" applyNumberFormat="1" applyFont="1" applyAlignment="1">
      <alignment horizontal="right"/>
    </xf>
    <xf numFmtId="43" fontId="32" fillId="0" borderId="0" xfId="1" applyFont="1" applyFill="1" applyAlignment="1">
      <alignment horizontal="right" vertical="center" wrapText="1"/>
    </xf>
    <xf numFmtId="43" fontId="38" fillId="0" borderId="5" xfId="1" applyFont="1" applyFill="1" applyBorder="1" applyAlignment="1">
      <alignment horizontal="right" vertical="center" wrapText="1"/>
    </xf>
    <xf numFmtId="43" fontId="37" fillId="0" borderId="17" xfId="0" applyNumberFormat="1" applyFont="1" applyBorder="1" applyAlignment="1">
      <alignment horizontal="right" vertical="center" wrapText="1"/>
    </xf>
    <xf numFmtId="43" fontId="38" fillId="0" borderId="17" xfId="1" applyFont="1" applyFill="1" applyBorder="1" applyAlignment="1">
      <alignment horizontal="right" vertical="center" wrapText="1"/>
    </xf>
    <xf numFmtId="44" fontId="9" fillId="0" borderId="0" xfId="2" applyFont="1" applyFill="1"/>
    <xf numFmtId="0" fontId="40" fillId="0" borderId="15" xfId="0" applyFont="1" applyBorder="1" applyAlignment="1">
      <alignment vertical="center"/>
    </xf>
    <xf numFmtId="0" fontId="32" fillId="0" borderId="18" xfId="0" applyFont="1" applyBorder="1" applyAlignment="1">
      <alignment vertical="center" wrapText="1"/>
    </xf>
    <xf numFmtId="169" fontId="32" fillId="7" borderId="5" xfId="0" applyNumberFormat="1" applyFont="1" applyFill="1" applyBorder="1" applyAlignment="1">
      <alignment horizontal="right" vertical="center" wrapText="1"/>
    </xf>
    <xf numFmtId="0" fontId="32" fillId="7" borderId="5" xfId="0" applyFont="1" applyFill="1" applyBorder="1" applyAlignment="1">
      <alignment horizontal="right" vertical="center" wrapText="1"/>
    </xf>
    <xf numFmtId="164" fontId="32" fillId="0" borderId="15" xfId="0" applyNumberFormat="1" applyFont="1" applyBorder="1" applyAlignment="1">
      <alignment horizontal="right" vertical="center" wrapText="1"/>
    </xf>
    <xf numFmtId="43" fontId="32" fillId="0" borderId="15" xfId="1" applyFont="1" applyBorder="1" applyAlignment="1">
      <alignment horizontal="right" vertical="center" wrapText="1"/>
    </xf>
    <xf numFmtId="0" fontId="37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32" fillId="2" borderId="0" xfId="0" applyFont="1" applyFill="1"/>
    <xf numFmtId="169" fontId="32" fillId="7" borderId="0" xfId="0" applyNumberFormat="1" applyFont="1" applyFill="1" applyAlignment="1">
      <alignment horizontal="right" vertical="center" wrapText="1"/>
    </xf>
    <xf numFmtId="10" fontId="37" fillId="7" borderId="17" xfId="0" applyNumberFormat="1" applyFont="1" applyFill="1" applyBorder="1" applyAlignment="1">
      <alignment horizontal="right" vertical="center" wrapText="1"/>
    </xf>
    <xf numFmtId="44" fontId="9" fillId="2" borderId="0" xfId="2" applyFill="1"/>
    <xf numFmtId="43" fontId="0" fillId="0" borderId="0" xfId="1" applyFont="1"/>
    <xf numFmtId="0" fontId="10" fillId="0" borderId="23" xfId="3" applyFont="1" applyBorder="1" applyAlignment="1">
      <alignment wrapText="1"/>
    </xf>
    <xf numFmtId="165" fontId="10" fillId="0" borderId="23" xfId="2" applyNumberFormat="1" applyFont="1" applyFill="1" applyBorder="1"/>
    <xf numFmtId="0" fontId="10" fillId="0" borderId="23" xfId="0" applyFont="1" applyBorder="1"/>
    <xf numFmtId="164" fontId="10" fillId="0" borderId="23" xfId="1" applyNumberFormat="1" applyFont="1" applyFill="1" applyBorder="1"/>
    <xf numFmtId="165" fontId="10" fillId="0" borderId="23" xfId="2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164" fontId="10" fillId="0" borderId="23" xfId="1" applyNumberFormat="1" applyFont="1" applyFill="1" applyBorder="1" applyAlignment="1">
      <alignment horizontal="center"/>
    </xf>
    <xf numFmtId="0" fontId="21" fillId="0" borderId="23" xfId="8" applyFont="1" applyBorder="1" applyAlignment="1">
      <alignment horizontal="right" vertical="center" wrapText="1"/>
    </xf>
    <xf numFmtId="0" fontId="46" fillId="12" borderId="30" xfId="12" applyFont="1" applyFill="1" applyBorder="1" applyAlignment="1">
      <alignment vertical="center"/>
    </xf>
    <xf numFmtId="41" fontId="47" fillId="0" borderId="30" xfId="13" quotePrefix="1" applyNumberFormat="1" applyFont="1" applyFill="1" applyBorder="1" applyAlignment="1" applyProtection="1">
      <alignment horizontal="center" vertical="center"/>
    </xf>
    <xf numFmtId="0" fontId="48" fillId="0" borderId="0" xfId="12" applyFont="1"/>
    <xf numFmtId="0" fontId="47" fillId="13" borderId="31" xfId="12" applyFont="1" applyFill="1" applyBorder="1" applyAlignment="1">
      <alignment horizontal="center" vertical="center"/>
    </xf>
    <xf numFmtId="0" fontId="49" fillId="0" borderId="0" xfId="12" applyFont="1"/>
    <xf numFmtId="0" fontId="48" fillId="14" borderId="30" xfId="12" applyFont="1" applyFill="1" applyBorder="1" applyAlignment="1">
      <alignment vertical="center"/>
    </xf>
    <xf numFmtId="0" fontId="48" fillId="14" borderId="30" xfId="12" applyFont="1" applyFill="1" applyBorder="1" applyAlignment="1">
      <alignment vertical="center" wrapText="1"/>
    </xf>
    <xf numFmtId="0" fontId="50" fillId="14" borderId="30" xfId="12" applyFont="1" applyFill="1" applyBorder="1" applyAlignment="1" applyProtection="1">
      <alignment vertical="center"/>
      <protection locked="0"/>
    </xf>
    <xf numFmtId="41" fontId="51" fillId="0" borderId="30" xfId="13" quotePrefix="1" applyNumberFormat="1" applyFont="1" applyFill="1" applyBorder="1" applyAlignment="1" applyProtection="1">
      <alignment horizontal="center" vertical="center"/>
      <protection locked="0"/>
    </xf>
    <xf numFmtId="41" fontId="21" fillId="0" borderId="30" xfId="13" quotePrefix="1" applyNumberFormat="1" applyFont="1" applyFill="1" applyBorder="1" applyAlignment="1" applyProtection="1">
      <alignment horizontal="center" vertical="center"/>
    </xf>
    <xf numFmtId="0" fontId="47" fillId="15" borderId="32" xfId="12" applyFont="1" applyFill="1" applyBorder="1" applyAlignment="1">
      <alignment horizontal="center" vertical="center"/>
    </xf>
    <xf numFmtId="0" fontId="50" fillId="0" borderId="0" xfId="12" applyFont="1" applyProtection="1">
      <protection locked="0"/>
    </xf>
    <xf numFmtId="41" fontId="21" fillId="5" borderId="30" xfId="13" quotePrefix="1" applyNumberFormat="1" applyFont="1" applyFill="1" applyBorder="1" applyAlignment="1" applyProtection="1">
      <alignment horizontal="center" vertical="center"/>
    </xf>
    <xf numFmtId="0" fontId="47" fillId="16" borderId="33" xfId="12" applyFont="1" applyFill="1" applyBorder="1" applyAlignment="1">
      <alignment horizontal="center" vertical="center"/>
    </xf>
    <xf numFmtId="0" fontId="48" fillId="14" borderId="0" xfId="12" applyFont="1" applyFill="1" applyAlignment="1">
      <alignment vertical="center" wrapText="1"/>
    </xf>
    <xf numFmtId="41" fontId="48" fillId="0" borderId="34" xfId="12" applyNumberFormat="1" applyFont="1" applyBorder="1" applyAlignment="1">
      <alignment wrapText="1"/>
    </xf>
    <xf numFmtId="41" fontId="48" fillId="0" borderId="0" xfId="12" applyNumberFormat="1" applyFont="1" applyAlignment="1">
      <alignment wrapText="1"/>
    </xf>
    <xf numFmtId="0" fontId="52" fillId="17" borderId="35" xfId="12" applyFont="1" applyFill="1" applyBorder="1" applyAlignment="1">
      <alignment horizontal="centerContinuous" vertical="center"/>
    </xf>
    <xf numFmtId="0" fontId="47" fillId="0" borderId="0" xfId="12" applyFont="1"/>
    <xf numFmtId="0" fontId="53" fillId="0" borderId="0" xfId="12" applyFont="1"/>
    <xf numFmtId="0" fontId="54" fillId="0" borderId="0" xfId="12" applyFont="1"/>
    <xf numFmtId="41" fontId="54" fillId="0" borderId="34" xfId="12" applyNumberFormat="1" applyFont="1" applyBorder="1" applyAlignment="1">
      <alignment wrapText="1"/>
    </xf>
    <xf numFmtId="41" fontId="54" fillId="0" borderId="34" xfId="12" applyNumberFormat="1" applyFont="1" applyBorder="1" applyAlignment="1">
      <alignment horizontal="center" wrapText="1"/>
    </xf>
    <xf numFmtId="0" fontId="47" fillId="13" borderId="36" xfId="12" applyFont="1" applyFill="1" applyBorder="1" applyAlignment="1">
      <alignment horizontal="center" vertical="center"/>
    </xf>
    <xf numFmtId="0" fontId="46" fillId="12" borderId="30" xfId="12" applyFont="1" applyFill="1" applyBorder="1" applyAlignment="1">
      <alignment horizontal="left" vertical="center" indent="1"/>
    </xf>
    <xf numFmtId="0" fontId="48" fillId="0" borderId="0" xfId="12" applyFont="1" applyAlignment="1">
      <alignment horizontal="left" vertical="center" indent="1"/>
    </xf>
    <xf numFmtId="0" fontId="48" fillId="0" borderId="0" xfId="12" applyFont="1" applyAlignment="1">
      <alignment horizontal="right"/>
    </xf>
    <xf numFmtId="0" fontId="55" fillId="18" borderId="37" xfId="12" applyFont="1" applyFill="1" applyBorder="1" applyAlignment="1">
      <alignment horizontal="center" vertical="center"/>
    </xf>
    <xf numFmtId="0" fontId="48" fillId="0" borderId="30" xfId="12" applyFont="1" applyBorder="1" applyAlignment="1">
      <alignment horizontal="left" vertical="center" indent="1"/>
    </xf>
    <xf numFmtId="0" fontId="48" fillId="0" borderId="30" xfId="12" applyFont="1" applyBorder="1"/>
    <xf numFmtId="0" fontId="6" fillId="0" borderId="0" xfId="12"/>
    <xf numFmtId="0" fontId="49" fillId="0" borderId="0" xfId="12" applyFont="1" applyAlignment="1">
      <alignment horizontal="center"/>
    </xf>
    <xf numFmtId="0" fontId="47" fillId="0" borderId="30" xfId="13" quotePrefix="1" applyNumberFormat="1" applyFont="1" applyFill="1" applyBorder="1" applyAlignment="1" applyProtection="1">
      <alignment horizontal="center" vertical="center"/>
      <protection locked="0"/>
    </xf>
    <xf numFmtId="0" fontId="56" fillId="17" borderId="38" xfId="12" applyFont="1" applyFill="1" applyBorder="1" applyAlignment="1">
      <alignment horizontal="center" vertical="center"/>
    </xf>
    <xf numFmtId="0" fontId="48" fillId="0" borderId="30" xfId="12" applyFont="1" applyBorder="1" applyAlignment="1">
      <alignment horizontal="center"/>
    </xf>
    <xf numFmtId="41" fontId="47" fillId="12" borderId="30" xfId="13" quotePrefix="1" applyNumberFormat="1" applyFont="1" applyFill="1" applyBorder="1" applyAlignment="1" applyProtection="1">
      <alignment horizontal="center" vertical="center"/>
      <protection locked="0"/>
    </xf>
    <xf numFmtId="0" fontId="47" fillId="12" borderId="39" xfId="13" quotePrefix="1" applyNumberFormat="1" applyFont="1" applyFill="1" applyBorder="1" applyAlignment="1" applyProtection="1">
      <alignment horizontal="center" vertical="center"/>
      <protection locked="0"/>
    </xf>
    <xf numFmtId="0" fontId="46" fillId="12" borderId="40" xfId="12" applyFont="1" applyFill="1" applyBorder="1" applyAlignment="1">
      <alignment vertical="center"/>
    </xf>
    <xf numFmtId="0" fontId="47" fillId="12" borderId="30" xfId="13" quotePrefix="1" applyNumberFormat="1" applyFont="1" applyFill="1" applyBorder="1" applyAlignment="1" applyProtection="1">
      <alignment horizontal="center" vertical="center"/>
      <protection locked="0"/>
    </xf>
    <xf numFmtId="0" fontId="52" fillId="17" borderId="41" xfId="12" applyFont="1" applyFill="1" applyBorder="1" applyAlignment="1">
      <alignment horizontal="centerContinuous" vertical="center"/>
    </xf>
    <xf numFmtId="0" fontId="48" fillId="17" borderId="42" xfId="12" applyFont="1" applyFill="1" applyBorder="1" applyAlignment="1">
      <alignment horizontal="centerContinuous" vertical="center"/>
    </xf>
    <xf numFmtId="0" fontId="21" fillId="12" borderId="30" xfId="13" quotePrefix="1" applyNumberFormat="1" applyFont="1" applyFill="1" applyBorder="1" applyAlignment="1" applyProtection="1">
      <alignment horizontal="center" vertical="center"/>
      <protection locked="0"/>
    </xf>
    <xf numFmtId="0" fontId="46" fillId="12" borderId="39" xfId="12" applyFont="1" applyFill="1" applyBorder="1" applyAlignment="1">
      <alignment vertical="center"/>
    </xf>
    <xf numFmtId="41" fontId="47" fillId="19" borderId="39" xfId="13" quotePrefix="1" applyNumberFormat="1" applyFont="1" applyFill="1" applyBorder="1" applyAlignment="1" applyProtection="1">
      <alignment horizontal="center" vertical="center"/>
    </xf>
    <xf numFmtId="0" fontId="49" fillId="0" borderId="0" xfId="12" applyFont="1" applyAlignment="1">
      <alignment horizontal="left" vertical="center" indent="1"/>
    </xf>
    <xf numFmtId="0" fontId="48" fillId="0" borderId="0" xfId="12" applyFont="1" applyAlignment="1">
      <alignment horizontal="right" vertical="center"/>
    </xf>
    <xf numFmtId="0" fontId="46" fillId="0" borderId="0" xfId="12" applyFont="1" applyAlignment="1">
      <alignment horizontal="right"/>
    </xf>
    <xf numFmtId="0" fontId="57" fillId="0" borderId="0" xfId="12" applyFont="1" applyAlignment="1">
      <alignment horizontal="left" indent="1"/>
    </xf>
    <xf numFmtId="0" fontId="46" fillId="0" borderId="0" xfId="12" applyFont="1" applyAlignment="1">
      <alignment horizontal="right" vertical="center"/>
    </xf>
    <xf numFmtId="0" fontId="47" fillId="18" borderId="31" xfId="12" applyFont="1" applyFill="1" applyBorder="1" applyAlignment="1">
      <alignment horizontal="center" vertical="center"/>
    </xf>
    <xf numFmtId="0" fontId="48" fillId="0" borderId="0" xfId="12" applyFont="1" applyAlignment="1">
      <alignment horizontal="left" indent="1"/>
    </xf>
    <xf numFmtId="0" fontId="58" fillId="20" borderId="43" xfId="12" applyFont="1" applyFill="1" applyBorder="1" applyAlignment="1">
      <alignment horizontal="center" vertical="center"/>
    </xf>
    <xf numFmtId="0" fontId="59" fillId="20" borderId="43" xfId="12" applyFont="1" applyFill="1" applyBorder="1"/>
    <xf numFmtId="0" fontId="59" fillId="20" borderId="2" xfId="12" applyFont="1" applyFill="1" applyBorder="1"/>
    <xf numFmtId="0" fontId="59" fillId="20" borderId="44" xfId="12" applyFont="1" applyFill="1" applyBorder="1"/>
    <xf numFmtId="0" fontId="59" fillId="21" borderId="0" xfId="12" applyFont="1" applyFill="1"/>
    <xf numFmtId="0" fontId="46" fillId="0" borderId="0" xfId="12" quotePrefix="1" applyFont="1" applyAlignment="1">
      <alignment horizontal="left" vertical="center" indent="2"/>
    </xf>
    <xf numFmtId="0" fontId="61" fillId="20" borderId="45" xfId="12" applyFont="1" applyFill="1" applyBorder="1" applyAlignment="1">
      <alignment horizontal="left" vertical="center" indent="20"/>
    </xf>
    <xf numFmtId="0" fontId="62" fillId="20" borderId="0" xfId="12" applyFont="1" applyFill="1" applyAlignment="1">
      <alignment horizontal="center"/>
    </xf>
    <xf numFmtId="0" fontId="59" fillId="20" borderId="46" xfId="12" applyFont="1" applyFill="1" applyBorder="1"/>
    <xf numFmtId="0" fontId="62" fillId="21" borderId="0" xfId="12" applyFont="1" applyFill="1" applyAlignment="1">
      <alignment horizontal="center"/>
    </xf>
    <xf numFmtId="41" fontId="49" fillId="0" borderId="0" xfId="13" quotePrefix="1" applyNumberFormat="1" applyFont="1" applyFill="1" applyBorder="1" applyAlignment="1" applyProtection="1">
      <alignment horizontal="center" vertical="center"/>
      <protection locked="0"/>
    </xf>
    <xf numFmtId="0" fontId="59" fillId="20" borderId="47" xfId="12" applyFont="1" applyFill="1" applyBorder="1"/>
    <xf numFmtId="0" fontId="59" fillId="20" borderId="1" xfId="12" applyFont="1" applyFill="1" applyBorder="1"/>
    <xf numFmtId="0" fontId="59" fillId="20" borderId="48" xfId="12" applyFont="1" applyFill="1" applyBorder="1"/>
    <xf numFmtId="0" fontId="46" fillId="0" borderId="0" xfId="12" quotePrefix="1" applyFont="1" applyAlignment="1">
      <alignment horizontal="left" vertical="center" indent="1"/>
    </xf>
    <xf numFmtId="0" fontId="48" fillId="0" borderId="0" xfId="12" applyFont="1" applyProtection="1">
      <protection locked="0"/>
    </xf>
    <xf numFmtId="41" fontId="63" fillId="12" borderId="40" xfId="13" quotePrefix="1" applyNumberFormat="1" applyFont="1" applyFill="1" applyBorder="1" applyAlignment="1" applyProtection="1">
      <alignment horizontal="center" vertical="center"/>
    </xf>
    <xf numFmtId="41" fontId="62" fillId="22" borderId="40" xfId="13" quotePrefix="1" applyNumberFormat="1" applyFont="1" applyFill="1" applyBorder="1" applyAlignment="1" applyProtection="1">
      <alignment horizontal="center" vertical="center"/>
    </xf>
    <xf numFmtId="41" fontId="49" fillId="12" borderId="40" xfId="13" quotePrefix="1" applyNumberFormat="1" applyFont="1" applyFill="1" applyBorder="1" applyAlignment="1" applyProtection="1">
      <alignment horizontal="center" vertical="center"/>
    </xf>
    <xf numFmtId="41" fontId="63" fillId="12" borderId="39" xfId="13" quotePrefix="1" applyNumberFormat="1" applyFont="1" applyFill="1" applyBorder="1" applyAlignment="1" applyProtection="1">
      <alignment horizontal="center" vertical="center"/>
    </xf>
    <xf numFmtId="41" fontId="64" fillId="12" borderId="39" xfId="13" quotePrefix="1" applyNumberFormat="1" applyFont="1" applyFill="1" applyBorder="1" applyAlignment="1" applyProtection="1">
      <alignment horizontal="center" vertical="center"/>
    </xf>
    <xf numFmtId="41" fontId="49" fillId="12" borderId="39" xfId="13" quotePrefix="1" applyNumberFormat="1" applyFont="1" applyFill="1" applyBorder="1" applyAlignment="1" applyProtection="1">
      <alignment horizontal="center" vertical="center"/>
    </xf>
    <xf numFmtId="41" fontId="46" fillId="23" borderId="49" xfId="13" quotePrefix="1" applyNumberFormat="1" applyFont="1" applyFill="1" applyBorder="1" applyAlignment="1" applyProtection="1">
      <alignment horizontal="left" vertical="center"/>
      <protection locked="0"/>
    </xf>
    <xf numFmtId="43" fontId="65" fillId="23" borderId="49" xfId="13" quotePrefix="1" applyFont="1" applyFill="1" applyBorder="1" applyAlignment="1" applyProtection="1">
      <alignment horizontal="left" vertical="center"/>
      <protection locked="0"/>
    </xf>
    <xf numFmtId="41" fontId="46" fillId="23" borderId="49" xfId="13" quotePrefix="1" applyNumberFormat="1" applyFont="1" applyFill="1" applyBorder="1" applyAlignment="1" applyProtection="1">
      <alignment horizontal="left" vertical="center" indent="1"/>
      <protection locked="0"/>
    </xf>
    <xf numFmtId="41" fontId="46" fillId="23" borderId="49" xfId="13" quotePrefix="1" applyNumberFormat="1" applyFont="1" applyFill="1" applyBorder="1" applyAlignment="1" applyProtection="1">
      <alignment horizontal="left" vertical="center" indent="2"/>
      <protection locked="0"/>
    </xf>
    <xf numFmtId="0" fontId="50" fillId="0" borderId="50" xfId="12" applyFont="1" applyBorder="1" applyAlignment="1" applyProtection="1">
      <alignment horizontal="left"/>
      <protection locked="0"/>
    </xf>
    <xf numFmtId="0" fontId="50" fillId="0" borderId="50" xfId="12" applyFont="1" applyBorder="1" applyAlignment="1" applyProtection="1">
      <alignment horizontal="left" indent="3"/>
      <protection locked="0"/>
    </xf>
    <xf numFmtId="43" fontId="50" fillId="0" borderId="50" xfId="13" quotePrefix="1" applyFont="1" applyFill="1" applyBorder="1" applyAlignment="1" applyProtection="1">
      <alignment horizontal="left" vertical="center"/>
      <protection locked="0"/>
    </xf>
    <xf numFmtId="41" fontId="46" fillId="23" borderId="49" xfId="13" quotePrefix="1" applyNumberFormat="1" applyFont="1" applyFill="1" applyBorder="1" applyAlignment="1" applyProtection="1">
      <alignment horizontal="left" vertical="center" indent="3"/>
      <protection locked="0"/>
    </xf>
    <xf numFmtId="0" fontId="50" fillId="0" borderId="50" xfId="12" applyFont="1" applyBorder="1" applyAlignment="1" applyProtection="1">
      <alignment horizontal="left" indent="4"/>
      <protection locked="0"/>
    </xf>
    <xf numFmtId="0" fontId="46" fillId="12" borderId="30" xfId="14" applyFont="1" applyFill="1" applyBorder="1" applyAlignment="1">
      <alignment vertical="center"/>
    </xf>
    <xf numFmtId="41" fontId="47" fillId="0" borderId="30" xfId="15" quotePrefix="1" applyNumberFormat="1" applyFont="1" applyFill="1" applyBorder="1" applyAlignment="1" applyProtection="1">
      <alignment horizontal="center" vertical="center"/>
    </xf>
    <xf numFmtId="0" fontId="48" fillId="0" borderId="0" xfId="14" applyFont="1"/>
    <xf numFmtId="0" fontId="47" fillId="13" borderId="31" xfId="14" applyFont="1" applyFill="1" applyBorder="1" applyAlignment="1">
      <alignment horizontal="center" vertical="center"/>
    </xf>
    <xf numFmtId="0" fontId="49" fillId="0" borderId="0" xfId="14" applyFont="1"/>
    <xf numFmtId="0" fontId="48" fillId="14" borderId="30" xfId="14" applyFont="1" applyFill="1" applyBorder="1" applyAlignment="1">
      <alignment vertical="center"/>
    </xf>
    <xf numFmtId="0" fontId="48" fillId="14" borderId="30" xfId="14" applyFont="1" applyFill="1" applyBorder="1" applyAlignment="1">
      <alignment vertical="center" wrapText="1"/>
    </xf>
    <xf numFmtId="0" fontId="50" fillId="14" borderId="30" xfId="14" applyFont="1" applyFill="1" applyBorder="1" applyAlignment="1" applyProtection="1">
      <alignment vertical="center"/>
      <protection locked="0"/>
    </xf>
    <xf numFmtId="41" fontId="51" fillId="0" borderId="30" xfId="15" quotePrefix="1" applyNumberFormat="1" applyFont="1" applyFill="1" applyBorder="1" applyAlignment="1" applyProtection="1">
      <alignment horizontal="center" vertical="center"/>
      <protection locked="0"/>
    </xf>
    <xf numFmtId="41" fontId="21" fillId="0" borderId="30" xfId="15" quotePrefix="1" applyNumberFormat="1" applyFont="1" applyFill="1" applyBorder="1" applyAlignment="1" applyProtection="1">
      <alignment horizontal="center" vertical="center"/>
    </xf>
    <xf numFmtId="0" fontId="47" fillId="15" borderId="32" xfId="14" applyFont="1" applyFill="1" applyBorder="1" applyAlignment="1">
      <alignment horizontal="center" vertical="center"/>
    </xf>
    <xf numFmtId="0" fontId="50" fillId="0" borderId="0" xfId="14" applyFont="1" applyProtection="1">
      <protection locked="0"/>
    </xf>
    <xf numFmtId="41" fontId="21" fillId="5" borderId="30" xfId="15" quotePrefix="1" applyNumberFormat="1" applyFont="1" applyFill="1" applyBorder="1" applyAlignment="1" applyProtection="1">
      <alignment horizontal="center" vertical="center"/>
    </xf>
    <xf numFmtId="0" fontId="47" fillId="16" borderId="33" xfId="14" applyFont="1" applyFill="1" applyBorder="1" applyAlignment="1">
      <alignment horizontal="center" vertical="center"/>
    </xf>
    <xf numFmtId="0" fontId="48" fillId="14" borderId="0" xfId="14" applyFont="1" applyFill="1" applyAlignment="1">
      <alignment vertical="center" wrapText="1"/>
    </xf>
    <xf numFmtId="41" fontId="48" fillId="0" borderId="34" xfId="14" applyNumberFormat="1" applyFont="1" applyBorder="1" applyAlignment="1">
      <alignment wrapText="1"/>
    </xf>
    <xf numFmtId="41" fontId="48" fillId="0" borderId="0" xfId="14" applyNumberFormat="1" applyFont="1" applyAlignment="1">
      <alignment wrapText="1"/>
    </xf>
    <xf numFmtId="0" fontId="52" fillId="17" borderId="35" xfId="14" applyFont="1" applyFill="1" applyBorder="1" applyAlignment="1">
      <alignment horizontal="centerContinuous" vertical="center"/>
    </xf>
    <xf numFmtId="0" fontId="47" fillId="0" borderId="0" xfId="14" applyFont="1"/>
    <xf numFmtId="0" fontId="53" fillId="0" borderId="0" xfId="14" applyFont="1"/>
    <xf numFmtId="0" fontId="54" fillId="0" borderId="0" xfId="14" applyFont="1"/>
    <xf numFmtId="41" fontId="54" fillId="0" borderId="34" xfId="14" applyNumberFormat="1" applyFont="1" applyBorder="1" applyAlignment="1">
      <alignment wrapText="1"/>
    </xf>
    <xf numFmtId="41" fontId="54" fillId="0" borderId="34" xfId="14" applyNumberFormat="1" applyFont="1" applyBorder="1" applyAlignment="1">
      <alignment horizontal="center" wrapText="1"/>
    </xf>
    <xf numFmtId="0" fontId="47" fillId="13" borderId="36" xfId="14" applyFont="1" applyFill="1" applyBorder="1" applyAlignment="1">
      <alignment horizontal="center" vertical="center"/>
    </xf>
    <xf numFmtId="0" fontId="46" fillId="12" borderId="30" xfId="14" applyFont="1" applyFill="1" applyBorder="1" applyAlignment="1">
      <alignment horizontal="left" vertical="center" indent="1"/>
    </xf>
    <xf numFmtId="0" fontId="48" fillId="0" borderId="0" xfId="14" applyFont="1" applyAlignment="1">
      <alignment horizontal="left" vertical="center" indent="1"/>
    </xf>
    <xf numFmtId="0" fontId="48" fillId="0" borderId="0" xfId="14" applyFont="1" applyAlignment="1">
      <alignment horizontal="right"/>
    </xf>
    <xf numFmtId="0" fontId="55" fillId="18" borderId="37" xfId="14" applyFont="1" applyFill="1" applyBorder="1" applyAlignment="1">
      <alignment horizontal="center" vertical="center"/>
    </xf>
    <xf numFmtId="0" fontId="48" fillId="0" borderId="30" xfId="14" applyFont="1" applyBorder="1" applyAlignment="1">
      <alignment horizontal="left" vertical="center" indent="1"/>
    </xf>
    <xf numFmtId="0" fontId="48" fillId="0" borderId="30" xfId="14" applyFont="1" applyBorder="1"/>
    <xf numFmtId="0" fontId="5" fillId="0" borderId="0" xfId="14"/>
    <xf numFmtId="0" fontId="49" fillId="0" borderId="0" xfId="14" applyFont="1" applyAlignment="1">
      <alignment horizontal="center"/>
    </xf>
    <xf numFmtId="0" fontId="47" fillId="0" borderId="30" xfId="15" quotePrefix="1" applyNumberFormat="1" applyFont="1" applyFill="1" applyBorder="1" applyAlignment="1" applyProtection="1">
      <alignment horizontal="center" vertical="center"/>
      <protection locked="0"/>
    </xf>
    <xf numFmtId="0" fontId="56" fillId="17" borderId="38" xfId="14" applyFont="1" applyFill="1" applyBorder="1" applyAlignment="1">
      <alignment horizontal="center" vertical="center"/>
    </xf>
    <xf numFmtId="0" fontId="48" fillId="0" borderId="30" xfId="14" applyFont="1" applyBorder="1" applyAlignment="1">
      <alignment horizontal="center"/>
    </xf>
    <xf numFmtId="41" fontId="47" fillId="12" borderId="30" xfId="15" quotePrefix="1" applyNumberFormat="1" applyFont="1" applyFill="1" applyBorder="1" applyAlignment="1" applyProtection="1">
      <alignment horizontal="center" vertical="center"/>
      <protection locked="0"/>
    </xf>
    <xf numFmtId="0" fontId="47" fillId="12" borderId="39" xfId="15" quotePrefix="1" applyNumberFormat="1" applyFont="1" applyFill="1" applyBorder="1" applyAlignment="1" applyProtection="1">
      <alignment horizontal="center" vertical="center"/>
      <protection locked="0"/>
    </xf>
    <xf numFmtId="0" fontId="46" fillId="12" borderId="40" xfId="14" applyFont="1" applyFill="1" applyBorder="1" applyAlignment="1">
      <alignment vertical="center"/>
    </xf>
    <xf numFmtId="0" fontId="47" fillId="12" borderId="30" xfId="15" quotePrefix="1" applyNumberFormat="1" applyFont="1" applyFill="1" applyBorder="1" applyAlignment="1" applyProtection="1">
      <alignment horizontal="center" vertical="center"/>
      <protection locked="0"/>
    </xf>
    <xf numFmtId="0" fontId="52" fillId="17" borderId="41" xfId="14" applyFont="1" applyFill="1" applyBorder="1" applyAlignment="1">
      <alignment horizontal="centerContinuous" vertical="center"/>
    </xf>
    <xf numFmtId="0" fontId="48" fillId="17" borderId="42" xfId="14" applyFont="1" applyFill="1" applyBorder="1" applyAlignment="1">
      <alignment horizontal="centerContinuous" vertical="center"/>
    </xf>
    <xf numFmtId="0" fontId="21" fillId="12" borderId="30" xfId="15" quotePrefix="1" applyNumberFormat="1" applyFont="1" applyFill="1" applyBorder="1" applyAlignment="1" applyProtection="1">
      <alignment horizontal="center" vertical="center"/>
      <protection locked="0"/>
    </xf>
    <xf numFmtId="0" fontId="46" fillId="12" borderId="39" xfId="14" applyFont="1" applyFill="1" applyBorder="1" applyAlignment="1">
      <alignment vertical="center"/>
    </xf>
    <xf numFmtId="41" fontId="47" fillId="19" borderId="39" xfId="15" quotePrefix="1" applyNumberFormat="1" applyFont="1" applyFill="1" applyBorder="1" applyAlignment="1" applyProtection="1">
      <alignment horizontal="center" vertical="center"/>
    </xf>
    <xf numFmtId="0" fontId="49" fillId="0" borderId="0" xfId="14" applyFont="1" applyAlignment="1">
      <alignment horizontal="left" vertical="center" indent="1"/>
    </xf>
    <xf numFmtId="0" fontId="48" fillId="0" borderId="0" xfId="14" applyFont="1" applyAlignment="1">
      <alignment horizontal="right" vertical="center"/>
    </xf>
    <xf numFmtId="0" fontId="46" fillId="0" borderId="0" xfId="14" applyFont="1" applyAlignment="1">
      <alignment horizontal="right"/>
    </xf>
    <xf numFmtId="0" fontId="57" fillId="0" borderId="0" xfId="14" applyFont="1" applyAlignment="1">
      <alignment horizontal="left" indent="1"/>
    </xf>
    <xf numFmtId="0" fontId="46" fillId="0" borderId="0" xfId="14" applyFont="1" applyAlignment="1">
      <alignment horizontal="right" vertical="center"/>
    </xf>
    <xf numFmtId="0" fontId="47" fillId="18" borderId="31" xfId="14" applyFont="1" applyFill="1" applyBorder="1" applyAlignment="1">
      <alignment horizontal="center" vertical="center"/>
    </xf>
    <xf numFmtId="0" fontId="48" fillId="0" borderId="0" xfId="14" applyFont="1" applyAlignment="1">
      <alignment horizontal="left" indent="1"/>
    </xf>
    <xf numFmtId="0" fontId="48" fillId="0" borderId="0" xfId="14" applyFont="1" applyAlignment="1">
      <alignment vertical="center"/>
    </xf>
    <xf numFmtId="0" fontId="66" fillId="20" borderId="12" xfId="14" applyFont="1" applyFill="1" applyBorder="1" applyAlignment="1">
      <alignment vertical="center"/>
    </xf>
    <xf numFmtId="0" fontId="48" fillId="0" borderId="0" xfId="14" applyFont="1" applyAlignment="1">
      <alignment horizontal="left" vertical="center"/>
    </xf>
    <xf numFmtId="0" fontId="59" fillId="20" borderId="43" xfId="14" applyFont="1" applyFill="1" applyBorder="1"/>
    <xf numFmtId="0" fontId="59" fillId="20" borderId="2" xfId="14" applyFont="1" applyFill="1" applyBorder="1"/>
    <xf numFmtId="0" fontId="59" fillId="20" borderId="44" xfId="14" applyFont="1" applyFill="1" applyBorder="1"/>
    <xf numFmtId="0" fontId="59" fillId="21" borderId="0" xfId="14" applyFont="1" applyFill="1"/>
    <xf numFmtId="0" fontId="46" fillId="0" borderId="0" xfId="14" quotePrefix="1" applyFont="1" applyAlignment="1">
      <alignment horizontal="left" vertical="center" indent="2"/>
    </xf>
    <xf numFmtId="0" fontId="61" fillId="20" borderId="45" xfId="14" applyFont="1" applyFill="1" applyBorder="1" applyAlignment="1">
      <alignment horizontal="left" vertical="center" indent="16"/>
    </xf>
    <xf numFmtId="0" fontId="62" fillId="20" borderId="0" xfId="14" applyFont="1" applyFill="1" applyAlignment="1">
      <alignment horizontal="center"/>
    </xf>
    <xf numFmtId="0" fontId="59" fillId="20" borderId="46" xfId="14" applyFont="1" applyFill="1" applyBorder="1"/>
    <xf numFmtId="0" fontId="62" fillId="21" borderId="0" xfId="14" applyFont="1" applyFill="1" applyAlignment="1">
      <alignment horizontal="center"/>
    </xf>
    <xf numFmtId="41" fontId="49" fillId="0" borderId="0" xfId="15" quotePrefix="1" applyNumberFormat="1" applyFont="1" applyFill="1" applyBorder="1" applyAlignment="1" applyProtection="1">
      <alignment horizontal="center" vertical="center"/>
      <protection locked="0"/>
    </xf>
    <xf numFmtId="0" fontId="59" fillId="20" borderId="47" xfId="14" applyFont="1" applyFill="1" applyBorder="1"/>
    <xf numFmtId="0" fontId="59" fillId="20" borderId="1" xfId="14" applyFont="1" applyFill="1" applyBorder="1"/>
    <xf numFmtId="0" fontId="59" fillId="20" borderId="48" xfId="14" applyFont="1" applyFill="1" applyBorder="1"/>
    <xf numFmtId="0" fontId="46" fillId="0" borderId="0" xfId="14" quotePrefix="1" applyFont="1" applyAlignment="1">
      <alignment horizontal="left" vertical="center" indent="1"/>
    </xf>
    <xf numFmtId="0" fontId="48" fillId="0" borderId="0" xfId="14" applyFont="1" applyProtection="1">
      <protection locked="0"/>
    </xf>
    <xf numFmtId="41" fontId="63" fillId="12" borderId="40" xfId="15" quotePrefix="1" applyNumberFormat="1" applyFont="1" applyFill="1" applyBorder="1" applyAlignment="1" applyProtection="1">
      <alignment horizontal="center" vertical="center"/>
    </xf>
    <xf numFmtId="41" fontId="62" fillId="22" borderId="40" xfId="15" quotePrefix="1" applyNumberFormat="1" applyFont="1" applyFill="1" applyBorder="1" applyAlignment="1" applyProtection="1">
      <alignment horizontal="center" vertical="center"/>
    </xf>
    <xf numFmtId="41" fontId="49" fillId="12" borderId="40" xfId="15" quotePrefix="1" applyNumberFormat="1" applyFont="1" applyFill="1" applyBorder="1" applyAlignment="1" applyProtection="1">
      <alignment horizontal="center" vertical="center"/>
    </xf>
    <xf numFmtId="41" fontId="63" fillId="12" borderId="39" xfId="15" quotePrefix="1" applyNumberFormat="1" applyFont="1" applyFill="1" applyBorder="1" applyAlignment="1" applyProtection="1">
      <alignment horizontal="center" vertical="center"/>
    </xf>
    <xf numFmtId="41" fontId="64" fillId="12" borderId="39" xfId="15" quotePrefix="1" applyNumberFormat="1" applyFont="1" applyFill="1" applyBorder="1" applyAlignment="1" applyProtection="1">
      <alignment horizontal="center" vertical="center"/>
    </xf>
    <xf numFmtId="41" fontId="49" fillId="12" borderId="39" xfId="15" quotePrefix="1" applyNumberFormat="1" applyFont="1" applyFill="1" applyBorder="1" applyAlignment="1" applyProtection="1">
      <alignment horizontal="center" vertical="center"/>
    </xf>
    <xf numFmtId="41" fontId="46" fillId="23" borderId="49" xfId="15" quotePrefix="1" applyNumberFormat="1" applyFont="1" applyFill="1" applyBorder="1" applyAlignment="1" applyProtection="1">
      <alignment horizontal="left" vertical="center"/>
      <protection locked="0"/>
    </xf>
    <xf numFmtId="43" fontId="65" fillId="23" borderId="49" xfId="15" quotePrefix="1" applyFont="1" applyFill="1" applyBorder="1" applyAlignment="1" applyProtection="1">
      <alignment horizontal="left" vertical="center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2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3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4"/>
      <protection locked="0"/>
    </xf>
    <xf numFmtId="0" fontId="50" fillId="0" borderId="50" xfId="14" applyFont="1" applyBorder="1" applyAlignment="1" applyProtection="1">
      <alignment horizontal="left"/>
      <protection locked="0"/>
    </xf>
    <xf numFmtId="0" fontId="50" fillId="0" borderId="50" xfId="14" applyFont="1" applyBorder="1" applyAlignment="1" applyProtection="1">
      <alignment horizontal="left" indent="5"/>
      <protection locked="0"/>
    </xf>
    <xf numFmtId="43" fontId="50" fillId="0" borderId="50" xfId="15" quotePrefix="1" applyFont="1" applyFill="1" applyBorder="1" applyAlignment="1" applyProtection="1">
      <alignment horizontal="left" vertical="center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5"/>
      <protection locked="0"/>
    </xf>
    <xf numFmtId="0" fontId="50" fillId="0" borderId="50" xfId="14" applyFont="1" applyBorder="1" applyAlignment="1" applyProtection="1">
      <alignment horizontal="left" indent="6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1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6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7"/>
      <protection locked="0"/>
    </xf>
    <xf numFmtId="0" fontId="50" fillId="0" borderId="50" xfId="14" applyFont="1" applyBorder="1" applyAlignment="1" applyProtection="1">
      <alignment horizontal="left" indent="8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8"/>
      <protection locked="0"/>
    </xf>
    <xf numFmtId="0" fontId="50" fillId="0" borderId="50" xfId="14" applyFont="1" applyBorder="1" applyAlignment="1" applyProtection="1">
      <alignment horizontal="left" indent="9"/>
      <protection locked="0"/>
    </xf>
    <xf numFmtId="41" fontId="46" fillId="23" borderId="49" xfId="15" quotePrefix="1" applyNumberFormat="1" applyFont="1" applyFill="1" applyBorder="1" applyAlignment="1" applyProtection="1">
      <alignment horizontal="left" vertical="center" indent="9"/>
      <protection locked="0"/>
    </xf>
    <xf numFmtId="0" fontId="50" fillId="0" borderId="50" xfId="14" applyFont="1" applyBorder="1" applyAlignment="1" applyProtection="1">
      <alignment horizontal="left" indent="10"/>
      <protection locked="0"/>
    </xf>
    <xf numFmtId="0" fontId="50" fillId="0" borderId="50" xfId="14" applyFont="1" applyBorder="1" applyAlignment="1" applyProtection="1">
      <alignment horizontal="left" indent="7"/>
      <protection locked="0"/>
    </xf>
    <xf numFmtId="164" fontId="10" fillId="0" borderId="0" xfId="1" applyNumberFormat="1" applyFont="1" applyFill="1" applyBorder="1" applyAlignment="1">
      <alignment horizontal="left"/>
    </xf>
    <xf numFmtId="0" fontId="40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32" fillId="0" borderId="18" xfId="0" applyFont="1" applyBorder="1" applyAlignment="1">
      <alignment horizontal="right" vertical="center" wrapText="1"/>
    </xf>
    <xf numFmtId="0" fontId="3" fillId="0" borderId="0" xfId="0" applyFont="1"/>
    <xf numFmtId="169" fontId="3" fillId="7" borderId="0" xfId="18" applyNumberFormat="1" applyFill="1"/>
    <xf numFmtId="169" fontId="3" fillId="5" borderId="0" xfId="18" applyNumberFormat="1" applyFill="1"/>
    <xf numFmtId="169" fontId="14" fillId="7" borderId="0" xfId="18" applyNumberFormat="1" applyFont="1" applyFill="1"/>
    <xf numFmtId="169" fontId="32" fillId="7" borderId="5" xfId="18" applyNumberFormat="1" applyFont="1" applyFill="1" applyBorder="1" applyAlignment="1">
      <alignment horizontal="right" vertical="center" wrapText="1"/>
    </xf>
    <xf numFmtId="169" fontId="32" fillId="8" borderId="15" xfId="18" applyNumberFormat="1" applyFont="1" applyFill="1" applyBorder="1" applyAlignment="1">
      <alignment horizontal="right" vertical="center" wrapText="1"/>
    </xf>
    <xf numFmtId="0" fontId="40" fillId="0" borderId="23" xfId="0" applyFont="1" applyBorder="1" applyAlignment="1">
      <alignment vertical="center" wrapText="1"/>
    </xf>
    <xf numFmtId="0" fontId="37" fillId="0" borderId="23" xfId="0" applyFont="1" applyBorder="1" applyAlignment="1">
      <alignment horizontal="right" vertical="center"/>
    </xf>
    <xf numFmtId="0" fontId="32" fillId="0" borderId="23" xfId="0" applyFont="1" applyBorder="1" applyAlignment="1">
      <alignment horizontal="right"/>
    </xf>
    <xf numFmtId="43" fontId="40" fillId="2" borderId="23" xfId="1" applyFont="1" applyFill="1" applyBorder="1" applyAlignment="1">
      <alignment horizontal="right" vertical="center" wrapText="1"/>
    </xf>
    <xf numFmtId="0" fontId="46" fillId="12" borderId="30" xfId="19" applyFont="1" applyFill="1" applyBorder="1" applyAlignment="1">
      <alignment vertical="center"/>
    </xf>
    <xf numFmtId="41" fontId="47" fillId="0" borderId="30" xfId="20" quotePrefix="1" applyNumberFormat="1" applyFont="1" applyFill="1" applyBorder="1" applyAlignment="1" applyProtection="1">
      <alignment horizontal="center" vertical="center"/>
    </xf>
    <xf numFmtId="0" fontId="48" fillId="0" borderId="0" xfId="19" applyFont="1" applyProtection="1">
      <protection locked="0"/>
    </xf>
    <xf numFmtId="0" fontId="47" fillId="13" borderId="31" xfId="19" applyFont="1" applyFill="1" applyBorder="1" applyAlignment="1">
      <alignment horizontal="center" vertical="center"/>
    </xf>
    <xf numFmtId="0" fontId="49" fillId="0" borderId="0" xfId="19" applyFont="1"/>
    <xf numFmtId="0" fontId="48" fillId="0" borderId="0" xfId="19" applyFont="1"/>
    <xf numFmtId="0" fontId="48" fillId="14" borderId="30" xfId="19" applyFont="1" applyFill="1" applyBorder="1" applyAlignment="1">
      <alignment vertical="center"/>
    </xf>
    <xf numFmtId="0" fontId="48" fillId="14" borderId="30" xfId="19" applyFont="1" applyFill="1" applyBorder="1" applyAlignment="1">
      <alignment vertical="center" wrapText="1"/>
    </xf>
    <xf numFmtId="0" fontId="50" fillId="14" borderId="30" xfId="19" applyFont="1" applyFill="1" applyBorder="1" applyAlignment="1" applyProtection="1">
      <alignment vertical="center"/>
      <protection locked="0"/>
    </xf>
    <xf numFmtId="41" fontId="51" fillId="0" borderId="30" xfId="20" quotePrefix="1" applyNumberFormat="1" applyFont="1" applyFill="1" applyBorder="1" applyAlignment="1" applyProtection="1">
      <alignment horizontal="center" vertical="center"/>
      <protection locked="0"/>
    </xf>
    <xf numFmtId="41" fontId="21" fillId="0" borderId="30" xfId="20" quotePrefix="1" applyNumberFormat="1" applyFont="1" applyFill="1" applyBorder="1" applyAlignment="1" applyProtection="1">
      <alignment horizontal="center" vertical="center"/>
    </xf>
    <xf numFmtId="0" fontId="47" fillId="15" borderId="32" xfId="19" applyFont="1" applyFill="1" applyBorder="1" applyAlignment="1">
      <alignment horizontal="center" vertical="center"/>
    </xf>
    <xf numFmtId="0" fontId="50" fillId="0" borderId="0" xfId="19" applyFont="1" applyProtection="1">
      <protection locked="0"/>
    </xf>
    <xf numFmtId="41" fontId="21" fillId="5" borderId="30" xfId="20" quotePrefix="1" applyNumberFormat="1" applyFont="1" applyFill="1" applyBorder="1" applyAlignment="1" applyProtection="1">
      <alignment horizontal="center" vertical="center"/>
    </xf>
    <xf numFmtId="0" fontId="47" fillId="16" borderId="33" xfId="19" applyFont="1" applyFill="1" applyBorder="1" applyAlignment="1">
      <alignment horizontal="center" vertical="center"/>
    </xf>
    <xf numFmtId="0" fontId="48" fillId="14" borderId="0" xfId="19" applyFont="1" applyFill="1" applyAlignment="1">
      <alignment vertical="center" wrapText="1"/>
    </xf>
    <xf numFmtId="41" fontId="48" fillId="0" borderId="0" xfId="19" applyNumberFormat="1" applyFont="1" applyAlignment="1">
      <alignment wrapText="1"/>
    </xf>
    <xf numFmtId="0" fontId="52" fillId="17" borderId="35" xfId="19" applyFont="1" applyFill="1" applyBorder="1" applyAlignment="1">
      <alignment horizontal="centerContinuous" vertical="center"/>
    </xf>
    <xf numFmtId="0" fontId="47" fillId="0" borderId="0" xfId="19" applyFont="1"/>
    <xf numFmtId="0" fontId="53" fillId="0" borderId="0" xfId="19" applyFont="1"/>
    <xf numFmtId="0" fontId="54" fillId="0" borderId="0" xfId="19" applyFont="1"/>
    <xf numFmtId="41" fontId="54" fillId="0" borderId="34" xfId="19" applyNumberFormat="1" applyFont="1" applyBorder="1" applyAlignment="1">
      <alignment wrapText="1"/>
    </xf>
    <xf numFmtId="41" fontId="54" fillId="0" borderId="34" xfId="19" applyNumberFormat="1" applyFont="1" applyBorder="1" applyAlignment="1">
      <alignment horizontal="center" wrapText="1"/>
    </xf>
    <xf numFmtId="0" fontId="47" fillId="13" borderId="36" xfId="19" applyFont="1" applyFill="1" applyBorder="1" applyAlignment="1">
      <alignment horizontal="center" vertical="center"/>
    </xf>
    <xf numFmtId="0" fontId="46" fillId="12" borderId="30" xfId="19" applyFont="1" applyFill="1" applyBorder="1" applyAlignment="1">
      <alignment horizontal="left" vertical="center" indent="1"/>
    </xf>
    <xf numFmtId="0" fontId="48" fillId="0" borderId="0" xfId="19" applyFont="1" applyAlignment="1">
      <alignment horizontal="left" vertical="center" indent="1"/>
    </xf>
    <xf numFmtId="0" fontId="48" fillId="0" borderId="30" xfId="19" applyFont="1" applyBorder="1" applyAlignment="1">
      <alignment horizontal="left" vertical="center" indent="1"/>
    </xf>
    <xf numFmtId="0" fontId="48" fillId="0" borderId="30" xfId="19" applyFont="1" applyBorder="1"/>
    <xf numFmtId="0" fontId="2" fillId="0" borderId="0" xfId="19"/>
    <xf numFmtId="0" fontId="47" fillId="0" borderId="0" xfId="19" applyFont="1" applyProtection="1">
      <protection locked="0"/>
    </xf>
    <xf numFmtId="0" fontId="49" fillId="0" borderId="0" xfId="19" applyFont="1" applyAlignment="1">
      <alignment horizontal="center"/>
    </xf>
    <xf numFmtId="0" fontId="47" fillId="0" borderId="30" xfId="20" quotePrefix="1" applyNumberFormat="1" applyFont="1" applyFill="1" applyBorder="1" applyAlignment="1" applyProtection="1">
      <alignment horizontal="center" vertical="center"/>
      <protection locked="0"/>
    </xf>
    <xf numFmtId="0" fontId="56" fillId="17" borderId="38" xfId="19" applyFont="1" applyFill="1" applyBorder="1" applyAlignment="1">
      <alignment horizontal="center" vertical="center"/>
    </xf>
    <xf numFmtId="0" fontId="48" fillId="0" borderId="30" xfId="19" applyFont="1" applyBorder="1" applyAlignment="1">
      <alignment horizontal="center"/>
    </xf>
    <xf numFmtId="41" fontId="67" fillId="12" borderId="19" xfId="20" quotePrefix="1" applyNumberFormat="1" applyFont="1" applyFill="1" applyBorder="1" applyAlignment="1" applyProtection="1">
      <alignment horizontal="center" vertical="center"/>
    </xf>
    <xf numFmtId="41" fontId="47" fillId="12" borderId="30" xfId="20" quotePrefix="1" applyNumberFormat="1" applyFont="1" applyFill="1" applyBorder="1" applyAlignment="1" applyProtection="1">
      <alignment horizontal="center" vertical="center"/>
      <protection locked="0"/>
    </xf>
    <xf numFmtId="0" fontId="47" fillId="12" borderId="39" xfId="20" quotePrefix="1" applyNumberFormat="1" applyFont="1" applyFill="1" applyBorder="1" applyAlignment="1" applyProtection="1">
      <alignment horizontal="center" vertical="center"/>
      <protection locked="0"/>
    </xf>
    <xf numFmtId="0" fontId="46" fillId="12" borderId="40" xfId="19" applyFont="1" applyFill="1" applyBorder="1" applyAlignment="1">
      <alignment vertical="center"/>
    </xf>
    <xf numFmtId="0" fontId="47" fillId="12" borderId="30" xfId="20" quotePrefix="1" applyNumberFormat="1" applyFont="1" applyFill="1" applyBorder="1" applyAlignment="1" applyProtection="1">
      <alignment horizontal="center" vertical="center"/>
      <protection locked="0"/>
    </xf>
    <xf numFmtId="0" fontId="52" fillId="17" borderId="41" xfId="19" applyFont="1" applyFill="1" applyBorder="1" applyAlignment="1">
      <alignment horizontal="centerContinuous" vertical="center"/>
    </xf>
    <xf numFmtId="0" fontId="48" fillId="17" borderId="42" xfId="19" applyFont="1" applyFill="1" applyBorder="1" applyAlignment="1">
      <alignment horizontal="centerContinuous" vertical="center"/>
    </xf>
    <xf numFmtId="0" fontId="21" fillId="12" borderId="30" xfId="20" quotePrefix="1" applyNumberFormat="1" applyFont="1" applyFill="1" applyBorder="1" applyAlignment="1" applyProtection="1">
      <alignment horizontal="center" vertical="center"/>
      <protection locked="0"/>
    </xf>
    <xf numFmtId="0" fontId="46" fillId="12" borderId="39" xfId="19" applyFont="1" applyFill="1" applyBorder="1" applyAlignment="1">
      <alignment vertical="center"/>
    </xf>
    <xf numFmtId="41" fontId="47" fillId="19" borderId="39" xfId="20" quotePrefix="1" applyNumberFormat="1" applyFont="1" applyFill="1" applyBorder="1" applyAlignment="1" applyProtection="1">
      <alignment horizontal="center" vertical="center"/>
    </xf>
    <xf numFmtId="0" fontId="49" fillId="0" borderId="0" xfId="19" applyFont="1" applyAlignment="1">
      <alignment horizontal="left" vertical="center" indent="1"/>
    </xf>
    <xf numFmtId="0" fontId="48" fillId="0" borderId="0" xfId="19" applyFont="1" applyAlignment="1">
      <alignment horizontal="right"/>
    </xf>
    <xf numFmtId="0" fontId="55" fillId="18" borderId="37" xfId="19" applyFont="1" applyFill="1" applyBorder="1" applyAlignment="1" applyProtection="1">
      <alignment horizontal="center" vertical="center"/>
      <protection locked="0"/>
    </xf>
    <xf numFmtId="0" fontId="48" fillId="0" borderId="0" xfId="19" applyFont="1" applyAlignment="1">
      <alignment horizontal="right" vertical="center"/>
    </xf>
    <xf numFmtId="0" fontId="46" fillId="0" borderId="0" xfId="19" applyFont="1" applyAlignment="1">
      <alignment horizontal="right"/>
    </xf>
    <xf numFmtId="0" fontId="57" fillId="0" borderId="0" xfId="19" applyFont="1" applyAlignment="1">
      <alignment horizontal="left" indent="1"/>
    </xf>
    <xf numFmtId="0" fontId="46" fillId="0" borderId="0" xfId="19" applyFont="1" applyAlignment="1">
      <alignment horizontal="right" vertical="center"/>
    </xf>
    <xf numFmtId="0" fontId="47" fillId="18" borderId="31" xfId="19" applyFont="1" applyFill="1" applyBorder="1" applyAlignment="1" applyProtection="1">
      <alignment horizontal="center" vertical="center"/>
      <protection locked="0"/>
    </xf>
    <xf numFmtId="0" fontId="48" fillId="0" borderId="0" xfId="19" applyFont="1" applyAlignment="1">
      <alignment horizontal="left" indent="1"/>
    </xf>
    <xf numFmtId="0" fontId="58" fillId="20" borderId="12" xfId="19" applyFont="1" applyFill="1" applyBorder="1" applyAlignment="1">
      <alignment horizontal="center" vertical="center"/>
    </xf>
    <xf numFmtId="0" fontId="59" fillId="20" borderId="43" xfId="19" applyFont="1" applyFill="1" applyBorder="1"/>
    <xf numFmtId="0" fontId="59" fillId="20" borderId="2" xfId="19" applyFont="1" applyFill="1" applyBorder="1"/>
    <xf numFmtId="0" fontId="59" fillId="20" borderId="44" xfId="19" applyFont="1" applyFill="1" applyBorder="1"/>
    <xf numFmtId="0" fontId="59" fillId="21" borderId="0" xfId="19" applyFont="1" applyFill="1"/>
    <xf numFmtId="0" fontId="46" fillId="0" borderId="0" xfId="19" quotePrefix="1" applyFont="1" applyAlignment="1">
      <alignment horizontal="left" vertical="center" indent="2"/>
    </xf>
    <xf numFmtId="0" fontId="61" fillId="20" borderId="45" xfId="19" applyFont="1" applyFill="1" applyBorder="1" applyAlignment="1">
      <alignment horizontal="left" vertical="center" indent="21"/>
    </xf>
    <xf numFmtId="0" fontId="62" fillId="20" borderId="0" xfId="19" applyFont="1" applyFill="1" applyAlignment="1">
      <alignment horizontal="center"/>
    </xf>
    <xf numFmtId="0" fontId="61" fillId="20" borderId="46" xfId="19" applyFont="1" applyFill="1" applyBorder="1" applyAlignment="1">
      <alignment horizontal="left" vertical="center" indent="15"/>
    </xf>
    <xf numFmtId="0" fontId="62" fillId="21" borderId="0" xfId="19" applyFont="1" applyFill="1" applyAlignment="1">
      <alignment horizontal="center"/>
    </xf>
    <xf numFmtId="0" fontId="59" fillId="20" borderId="47" xfId="19" applyFont="1" applyFill="1" applyBorder="1"/>
    <xf numFmtId="0" fontId="59" fillId="20" borderId="1" xfId="19" applyFont="1" applyFill="1" applyBorder="1"/>
    <xf numFmtId="0" fontId="59" fillId="20" borderId="48" xfId="19" applyFont="1" applyFill="1" applyBorder="1"/>
    <xf numFmtId="0" fontId="46" fillId="0" borderId="0" xfId="19" quotePrefix="1" applyFont="1" applyAlignment="1">
      <alignment horizontal="left" vertical="center" indent="1"/>
    </xf>
    <xf numFmtId="41" fontId="49" fillId="0" borderId="0" xfId="20" quotePrefix="1" applyNumberFormat="1" applyFont="1" applyFill="1" applyBorder="1" applyAlignment="1" applyProtection="1">
      <alignment horizontal="center" vertical="center"/>
      <protection locked="0"/>
    </xf>
    <xf numFmtId="41" fontId="63" fillId="12" borderId="40" xfId="20" quotePrefix="1" applyNumberFormat="1" applyFont="1" applyFill="1" applyBorder="1" applyAlignment="1" applyProtection="1">
      <alignment horizontal="center" vertical="center"/>
    </xf>
    <xf numFmtId="41" fontId="62" fillId="22" borderId="40" xfId="20" quotePrefix="1" applyNumberFormat="1" applyFont="1" applyFill="1" applyBorder="1" applyAlignment="1" applyProtection="1">
      <alignment horizontal="center" vertical="center"/>
    </xf>
    <xf numFmtId="41" fontId="49" fillId="12" borderId="40" xfId="20" quotePrefix="1" applyNumberFormat="1" applyFont="1" applyFill="1" applyBorder="1" applyAlignment="1" applyProtection="1">
      <alignment horizontal="center" vertical="center"/>
    </xf>
    <xf numFmtId="41" fontId="63" fillId="12" borderId="39" xfId="20" quotePrefix="1" applyNumberFormat="1" applyFont="1" applyFill="1" applyBorder="1" applyAlignment="1" applyProtection="1">
      <alignment horizontal="center" vertical="center"/>
    </xf>
    <xf numFmtId="41" fontId="49" fillId="12" borderId="39" xfId="20" quotePrefix="1" applyNumberFormat="1" applyFont="1" applyFill="1" applyBorder="1" applyAlignment="1" applyProtection="1">
      <alignment horizontal="center" vertical="center"/>
    </xf>
    <xf numFmtId="41" fontId="46" fillId="23" borderId="49" xfId="20" quotePrefix="1" applyNumberFormat="1" applyFont="1" applyFill="1" applyBorder="1" applyAlignment="1" applyProtection="1">
      <alignment horizontal="left" vertical="center"/>
      <protection locked="0"/>
    </xf>
    <xf numFmtId="43" fontId="65" fillId="23" borderId="49" xfId="20" quotePrefix="1" applyFont="1" applyFill="1" applyBorder="1" applyAlignment="1" applyProtection="1">
      <alignment horizontal="left" vertical="center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1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2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3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4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5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6"/>
      <protection locked="0"/>
    </xf>
    <xf numFmtId="0" fontId="50" fillId="0" borderId="50" xfId="19" applyFont="1" applyBorder="1" applyAlignment="1" applyProtection="1">
      <alignment horizontal="left"/>
      <protection locked="0"/>
    </xf>
    <xf numFmtId="0" fontId="50" fillId="0" borderId="50" xfId="19" applyFont="1" applyBorder="1" applyAlignment="1" applyProtection="1">
      <alignment horizontal="left" indent="7"/>
      <protection locked="0"/>
    </xf>
    <xf numFmtId="43" fontId="50" fillId="0" borderId="50" xfId="20" quotePrefix="1" applyFont="1" applyFill="1" applyBorder="1" applyAlignment="1" applyProtection="1">
      <alignment horizontal="left" vertical="center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7"/>
      <protection locked="0"/>
    </xf>
    <xf numFmtId="0" fontId="50" fillId="0" borderId="50" xfId="19" applyFont="1" applyBorder="1" applyAlignment="1" applyProtection="1">
      <alignment horizontal="left" indent="8"/>
      <protection locked="0"/>
    </xf>
    <xf numFmtId="41" fontId="46" fillId="23" borderId="49" xfId="20" quotePrefix="1" applyNumberFormat="1" applyFont="1" applyFill="1" applyBorder="1" applyAlignment="1" applyProtection="1">
      <alignment horizontal="left" vertical="center" indent="8"/>
      <protection locked="0"/>
    </xf>
    <xf numFmtId="0" fontId="50" fillId="0" borderId="50" xfId="19" applyFont="1" applyBorder="1" applyAlignment="1" applyProtection="1">
      <alignment horizontal="left" indent="9"/>
      <protection locked="0"/>
    </xf>
    <xf numFmtId="0" fontId="50" fillId="0" borderId="50" xfId="19" applyFont="1" applyBorder="1" applyAlignment="1" applyProtection="1">
      <alignment horizontal="left" indent="6"/>
      <protection locked="0"/>
    </xf>
    <xf numFmtId="0" fontId="50" fillId="0" borderId="50" xfId="19" applyFont="1" applyBorder="1" applyAlignment="1" applyProtection="1">
      <alignment horizontal="left" indent="5"/>
      <protection locked="0"/>
    </xf>
    <xf numFmtId="0" fontId="50" fillId="0" borderId="50" xfId="19" applyFont="1" applyBorder="1" applyAlignment="1" applyProtection="1">
      <alignment horizontal="left" indent="4"/>
      <protection locked="0"/>
    </xf>
    <xf numFmtId="43" fontId="50" fillId="2" borderId="50" xfId="20" quotePrefix="1" applyFont="1" applyFill="1" applyBorder="1" applyAlignment="1" applyProtection="1">
      <alignment horizontal="left" vertical="center"/>
      <protection locked="0"/>
    </xf>
    <xf numFmtId="0" fontId="50" fillId="2" borderId="50" xfId="19" applyFont="1" applyFill="1" applyBorder="1" applyAlignment="1" applyProtection="1">
      <alignment horizontal="left"/>
      <protection locked="0"/>
    </xf>
    <xf numFmtId="0" fontId="50" fillId="2" borderId="50" xfId="19" applyFont="1" applyFill="1" applyBorder="1" applyAlignment="1" applyProtection="1">
      <alignment horizontal="left" indent="7"/>
      <protection locked="0"/>
    </xf>
    <xf numFmtId="0" fontId="48" fillId="0" borderId="0" xfId="19" applyFont="1" applyAlignment="1">
      <alignment horizontal="center"/>
    </xf>
    <xf numFmtId="0" fontId="31" fillId="0" borderId="0" xfId="21" applyFont="1"/>
    <xf numFmtId="0" fontId="2" fillId="0" borderId="0" xfId="21" applyFont="1"/>
    <xf numFmtId="0" fontId="9" fillId="0" borderId="0" xfId="21"/>
    <xf numFmtId="0" fontId="32" fillId="0" borderId="0" xfId="21" applyFont="1"/>
    <xf numFmtId="0" fontId="33" fillId="0" borderId="0" xfId="21" applyFont="1"/>
    <xf numFmtId="0" fontId="34" fillId="0" borderId="0" xfId="21" applyFont="1"/>
    <xf numFmtId="14" fontId="34" fillId="0" borderId="0" xfId="21" applyNumberFormat="1" applyFont="1" applyAlignment="1">
      <alignment horizontal="left"/>
    </xf>
    <xf numFmtId="0" fontId="35" fillId="0" borderId="0" xfId="21" applyFont="1"/>
    <xf numFmtId="0" fontId="9" fillId="0" borderId="23" xfId="21" applyBorder="1"/>
    <xf numFmtId="14" fontId="9" fillId="0" borderId="0" xfId="21" quotePrefix="1" applyNumberFormat="1"/>
    <xf numFmtId="0" fontId="9" fillId="0" borderId="26" xfId="21" applyBorder="1"/>
    <xf numFmtId="14" fontId="9" fillId="0" borderId="0" xfId="21" applyNumberFormat="1"/>
    <xf numFmtId="0" fontId="36" fillId="0" borderId="0" xfId="21" applyFont="1" applyAlignment="1">
      <alignment vertical="center"/>
    </xf>
    <xf numFmtId="0" fontId="37" fillId="6" borderId="0" xfId="21" applyFont="1" applyFill="1" applyAlignment="1">
      <alignment vertical="center" wrapText="1"/>
    </xf>
    <xf numFmtId="0" fontId="38" fillId="7" borderId="12" xfId="21" applyFont="1" applyFill="1" applyBorder="1" applyAlignment="1">
      <alignment horizontal="center" vertical="center" wrapText="1"/>
    </xf>
    <xf numFmtId="0" fontId="38" fillId="7" borderId="10" xfId="21" applyFont="1" applyFill="1" applyBorder="1" applyAlignment="1">
      <alignment horizontal="center" vertical="center" wrapText="1"/>
    </xf>
    <xf numFmtId="169" fontId="2" fillId="7" borderId="0" xfId="22" applyNumberFormat="1" applyFill="1"/>
    <xf numFmtId="0" fontId="14" fillId="7" borderId="0" xfId="21" applyFont="1" applyFill="1"/>
    <xf numFmtId="169" fontId="14" fillId="7" borderId="0" xfId="22" applyNumberFormat="1" applyFont="1" applyFill="1"/>
    <xf numFmtId="169" fontId="14" fillId="7" borderId="0" xfId="21" applyNumberFormat="1" applyFont="1" applyFill="1"/>
    <xf numFmtId="0" fontId="14" fillId="0" borderId="0" xfId="21" applyFont="1"/>
    <xf numFmtId="0" fontId="40" fillId="0" borderId="0" xfId="21" applyFont="1" applyAlignment="1">
      <alignment vertical="center"/>
    </xf>
    <xf numFmtId="0" fontId="40" fillId="0" borderId="15" xfId="21" applyFont="1" applyBorder="1" applyAlignment="1">
      <alignment vertical="center" wrapText="1"/>
    </xf>
    <xf numFmtId="0" fontId="37" fillId="0" borderId="15" xfId="21" applyFont="1" applyBorder="1" applyAlignment="1">
      <alignment horizontal="right" vertical="center" wrapText="1"/>
    </xf>
    <xf numFmtId="0" fontId="32" fillId="0" borderId="15" xfId="21" applyFont="1" applyBorder="1" applyAlignment="1">
      <alignment horizontal="right" vertical="center" wrapText="1"/>
    </xf>
    <xf numFmtId="0" fontId="38" fillId="0" borderId="15" xfId="21" applyFont="1" applyBorder="1" applyAlignment="1">
      <alignment horizontal="right" vertical="center" wrapText="1"/>
    </xf>
    <xf numFmtId="0" fontId="40" fillId="0" borderId="0" xfId="21" applyFont="1" applyAlignment="1">
      <alignment vertical="center" wrapText="1"/>
    </xf>
    <xf numFmtId="0" fontId="37" fillId="0" borderId="0" xfId="21" applyFont="1" applyAlignment="1">
      <alignment horizontal="right" vertical="center"/>
    </xf>
    <xf numFmtId="0" fontId="32" fillId="0" borderId="0" xfId="21" applyFont="1" applyAlignment="1">
      <alignment horizontal="right"/>
    </xf>
    <xf numFmtId="0" fontId="40" fillId="0" borderId="5" xfId="21" applyFont="1" applyBorder="1" applyAlignment="1">
      <alignment vertical="center" wrapText="1"/>
    </xf>
    <xf numFmtId="0" fontId="37" fillId="0" borderId="5" xfId="21" applyFont="1" applyBorder="1" applyAlignment="1">
      <alignment horizontal="right" vertical="center"/>
    </xf>
    <xf numFmtId="0" fontId="32" fillId="0" borderId="5" xfId="21" applyFont="1" applyBorder="1" applyAlignment="1">
      <alignment horizontal="right" vertical="center" wrapText="1"/>
    </xf>
    <xf numFmtId="0" fontId="40" fillId="0" borderId="16" xfId="21" applyFont="1" applyBorder="1" applyAlignment="1">
      <alignment vertical="center" wrapText="1"/>
    </xf>
    <xf numFmtId="0" fontId="37" fillId="0" borderId="16" xfId="21" applyFont="1" applyBorder="1" applyAlignment="1">
      <alignment horizontal="right" vertical="center" wrapText="1"/>
    </xf>
    <xf numFmtId="0" fontId="32" fillId="0" borderId="16" xfId="21" applyFont="1" applyBorder="1" applyAlignment="1">
      <alignment horizontal="right" vertical="center" wrapText="1"/>
    </xf>
    <xf numFmtId="0" fontId="40" fillId="0" borderId="17" xfId="21" applyFont="1" applyBorder="1" applyAlignment="1">
      <alignment vertical="center" wrapText="1"/>
    </xf>
    <xf numFmtId="0" fontId="37" fillId="0" borderId="17" xfId="21" applyFont="1" applyBorder="1" applyAlignment="1">
      <alignment horizontal="right" vertical="center" wrapText="1"/>
    </xf>
    <xf numFmtId="0" fontId="37" fillId="0" borderId="17" xfId="21" applyFont="1" applyBorder="1" applyAlignment="1">
      <alignment horizontal="right" vertical="center"/>
    </xf>
    <xf numFmtId="0" fontId="40" fillId="0" borderId="0" xfId="21" applyFont="1" applyAlignment="1">
      <alignment horizontal="right" vertical="center"/>
    </xf>
    <xf numFmtId="43" fontId="32" fillId="0" borderId="0" xfId="21" applyNumberFormat="1" applyFont="1" applyAlignment="1">
      <alignment horizontal="right"/>
    </xf>
    <xf numFmtId="43" fontId="32" fillId="0" borderId="5" xfId="21" applyNumberFormat="1" applyFont="1" applyBorder="1" applyAlignment="1">
      <alignment horizontal="right" vertical="center" wrapText="1"/>
    </xf>
    <xf numFmtId="43" fontId="37" fillId="0" borderId="17" xfId="21" applyNumberFormat="1" applyFont="1" applyBorder="1" applyAlignment="1">
      <alignment horizontal="right" vertical="center" wrapText="1"/>
    </xf>
    <xf numFmtId="0" fontId="42" fillId="0" borderId="0" xfId="21" applyFont="1" applyAlignment="1">
      <alignment horizontal="left" vertical="center" wrapText="1"/>
    </xf>
    <xf numFmtId="0" fontId="40" fillId="0" borderId="15" xfId="21" applyFont="1" applyBorder="1" applyAlignment="1">
      <alignment vertical="center"/>
    </xf>
    <xf numFmtId="0" fontId="32" fillId="0" borderId="18" xfId="21" applyFont="1" applyBorder="1" applyAlignment="1">
      <alignment horizontal="right" vertical="center" wrapText="1"/>
    </xf>
    <xf numFmtId="0" fontId="32" fillId="0" borderId="18" xfId="21" applyFont="1" applyBorder="1" applyAlignment="1">
      <alignment vertical="center" wrapText="1"/>
    </xf>
    <xf numFmtId="169" fontId="32" fillId="7" borderId="5" xfId="21" applyNumberFormat="1" applyFont="1" applyFill="1" applyBorder="1" applyAlignment="1">
      <alignment horizontal="right" vertical="center" wrapText="1"/>
    </xf>
    <xf numFmtId="0" fontId="32" fillId="7" borderId="5" xfId="21" applyFont="1" applyFill="1" applyBorder="1" applyAlignment="1">
      <alignment horizontal="right" vertical="center" wrapText="1"/>
    </xf>
    <xf numFmtId="169" fontId="32" fillId="7" borderId="5" xfId="22" applyNumberFormat="1" applyFont="1" applyFill="1" applyBorder="1" applyAlignment="1">
      <alignment horizontal="right" vertical="center" wrapText="1"/>
    </xf>
    <xf numFmtId="164" fontId="32" fillId="0" borderId="15" xfId="21" applyNumberFormat="1" applyFont="1" applyBorder="1" applyAlignment="1">
      <alignment horizontal="right" vertical="center" wrapText="1"/>
    </xf>
    <xf numFmtId="169" fontId="32" fillId="8" borderId="15" xfId="22" applyNumberFormat="1" applyFont="1" applyFill="1" applyBorder="1" applyAlignment="1">
      <alignment horizontal="right" vertical="center" wrapText="1"/>
    </xf>
    <xf numFmtId="0" fontId="37" fillId="0" borderId="15" xfId="21" applyFont="1" applyBorder="1" applyAlignment="1">
      <alignment horizontal="center" vertical="center" wrapText="1"/>
    </xf>
    <xf numFmtId="0" fontId="38" fillId="0" borderId="15" xfId="21" applyFont="1" applyBorder="1" applyAlignment="1">
      <alignment horizontal="center" vertical="center" wrapText="1"/>
    </xf>
    <xf numFmtId="0" fontId="37" fillId="0" borderId="0" xfId="21" applyFont="1" applyAlignment="1">
      <alignment horizontal="right" vertical="center" wrapText="1"/>
    </xf>
    <xf numFmtId="0" fontId="13" fillId="0" borderId="0" xfId="21" applyFont="1" applyAlignment="1">
      <alignment horizontal="right" vertical="center" wrapText="1"/>
    </xf>
    <xf numFmtId="0" fontId="37" fillId="0" borderId="14" xfId="21" applyFont="1" applyBorder="1" applyAlignment="1">
      <alignment horizontal="right" vertical="center"/>
    </xf>
    <xf numFmtId="43" fontId="13" fillId="0" borderId="5" xfId="1" applyFont="1" applyBorder="1" applyAlignment="1">
      <alignment horizontal="right" vertical="center" wrapText="1"/>
    </xf>
    <xf numFmtId="0" fontId="32" fillId="0" borderId="5" xfId="21" applyFont="1" applyBorder="1" applyAlignment="1">
      <alignment horizontal="left" vertical="center" wrapText="1"/>
    </xf>
    <xf numFmtId="0" fontId="32" fillId="2" borderId="5" xfId="21" applyFont="1" applyFill="1" applyBorder="1" applyAlignment="1">
      <alignment horizontal="right" vertical="center" wrapText="1"/>
    </xf>
    <xf numFmtId="0" fontId="32" fillId="2" borderId="0" xfId="21" applyFont="1" applyFill="1"/>
    <xf numFmtId="169" fontId="32" fillId="7" borderId="0" xfId="21" applyNumberFormat="1" applyFont="1" applyFill="1" applyAlignment="1">
      <alignment horizontal="right" vertical="center" wrapText="1"/>
    </xf>
    <xf numFmtId="10" fontId="37" fillId="7" borderId="17" xfId="21" applyNumberFormat="1" applyFont="1" applyFill="1" applyBorder="1" applyAlignment="1">
      <alignment horizontal="right" vertical="center" wrapText="1"/>
    </xf>
    <xf numFmtId="0" fontId="39" fillId="0" borderId="0" xfId="21" applyFont="1"/>
    <xf numFmtId="43" fontId="39" fillId="0" borderId="0" xfId="21" applyNumberFormat="1" applyFont="1"/>
    <xf numFmtId="0" fontId="38" fillId="7" borderId="9" xfId="21" applyFont="1" applyFill="1" applyBorder="1" applyAlignment="1">
      <alignment horizontal="left" vertical="center" wrapText="1"/>
    </xf>
    <xf numFmtId="0" fontId="38" fillId="7" borderId="11" xfId="21" applyFont="1" applyFill="1" applyBorder="1" applyAlignment="1">
      <alignment horizontal="left" vertical="center" wrapText="1"/>
    </xf>
    <xf numFmtId="0" fontId="38" fillId="7" borderId="10" xfId="21" applyFont="1" applyFill="1" applyBorder="1" applyAlignment="1">
      <alignment horizontal="left" vertical="center" wrapText="1"/>
    </xf>
    <xf numFmtId="0" fontId="38" fillId="7" borderId="9" xfId="21" applyFont="1" applyFill="1" applyBorder="1" applyAlignment="1">
      <alignment horizontal="center" vertical="center"/>
    </xf>
    <xf numFmtId="0" fontId="38" fillId="7" borderId="11" xfId="21" applyFont="1" applyFill="1" applyBorder="1" applyAlignment="1">
      <alignment horizontal="center" vertical="center"/>
    </xf>
    <xf numFmtId="0" fontId="38" fillId="7" borderId="10" xfId="21" applyFont="1" applyFill="1" applyBorder="1" applyAlignment="1">
      <alignment horizontal="center" vertical="center"/>
    </xf>
    <xf numFmtId="16" fontId="37" fillId="0" borderId="0" xfId="21" applyNumberFormat="1" applyFont="1" applyAlignment="1">
      <alignment horizontal="right" vertical="center"/>
    </xf>
    <xf numFmtId="0" fontId="42" fillId="0" borderId="2" xfId="21" applyFont="1" applyBorder="1" applyAlignment="1">
      <alignment horizontal="left" vertical="center" wrapText="1"/>
    </xf>
    <xf numFmtId="0" fontId="40" fillId="0" borderId="0" xfId="21" applyFont="1" applyAlignment="1">
      <alignment horizontal="left" vertical="center" wrapText="1"/>
    </xf>
    <xf numFmtId="170" fontId="40" fillId="0" borderId="15" xfId="21" applyNumberFormat="1" applyFont="1" applyBorder="1" applyAlignment="1">
      <alignment horizontal="right" vertical="center" wrapText="1"/>
    </xf>
    <xf numFmtId="0" fontId="32" fillId="9" borderId="19" xfId="21" applyFont="1" applyFill="1" applyBorder="1" applyAlignment="1">
      <alignment horizontal="left" vertical="top" wrapText="1"/>
    </xf>
    <xf numFmtId="0" fontId="32" fillId="9" borderId="14" xfId="21" applyFont="1" applyFill="1" applyBorder="1" applyAlignment="1">
      <alignment horizontal="left" vertical="top" wrapText="1"/>
    </xf>
    <xf numFmtId="0" fontId="32" fillId="9" borderId="20" xfId="21" applyFont="1" applyFill="1" applyBorder="1" applyAlignment="1">
      <alignment horizontal="left" vertical="top" wrapText="1"/>
    </xf>
    <xf numFmtId="0" fontId="32" fillId="9" borderId="21" xfId="21" applyFont="1" applyFill="1" applyBorder="1" applyAlignment="1">
      <alignment horizontal="left" vertical="top" wrapText="1"/>
    </xf>
    <xf numFmtId="0" fontId="32" fillId="9" borderId="0" xfId="21" applyFont="1" applyFill="1" applyAlignment="1">
      <alignment horizontal="left" vertical="top" wrapText="1"/>
    </xf>
    <xf numFmtId="0" fontId="32" fillId="9" borderId="22" xfId="21" applyFont="1" applyFill="1" applyBorder="1" applyAlignment="1">
      <alignment horizontal="left" vertical="top" wrapText="1"/>
    </xf>
    <xf numFmtId="0" fontId="32" fillId="9" borderId="23" xfId="21" applyFont="1" applyFill="1" applyBorder="1" applyAlignment="1">
      <alignment horizontal="left" vertical="top" wrapText="1"/>
    </xf>
    <xf numFmtId="0" fontId="40" fillId="0" borderId="24" xfId="21" applyFont="1" applyBorder="1" applyAlignment="1">
      <alignment horizontal="left" vertical="center" wrapText="1"/>
    </xf>
    <xf numFmtId="0" fontId="9" fillId="0" borderId="0" xfId="21" applyAlignment="1">
      <alignment horizontal="left" vertical="top" wrapText="1"/>
    </xf>
    <xf numFmtId="0" fontId="9" fillId="11" borderId="0" xfId="21" applyFill="1" applyAlignment="1">
      <alignment horizontal="left" vertical="center" wrapText="1"/>
    </xf>
    <xf numFmtId="0" fontId="68" fillId="24" borderId="40" xfId="0" applyFont="1" applyFill="1" applyBorder="1" applyAlignment="1">
      <alignment horizontal="center" vertical="center"/>
    </xf>
    <xf numFmtId="0" fontId="70" fillId="0" borderId="0" xfId="0" applyFont="1"/>
    <xf numFmtId="0" fontId="71" fillId="24" borderId="39" xfId="0" applyFont="1" applyFill="1" applyBorder="1" applyAlignment="1">
      <alignment horizontal="center" vertical="center"/>
    </xf>
    <xf numFmtId="0" fontId="19" fillId="0" borderId="0" xfId="0" applyFont="1"/>
    <xf numFmtId="0" fontId="72" fillId="0" borderId="50" xfId="0" applyFont="1" applyBorder="1" applyAlignment="1">
      <alignment horizontal="left"/>
    </xf>
    <xf numFmtId="0" fontId="72" fillId="0" borderId="50" xfId="0" applyFont="1" applyBorder="1" applyAlignment="1">
      <alignment horizontal="left" vertical="center"/>
    </xf>
    <xf numFmtId="0" fontId="72" fillId="25" borderId="50" xfId="0" applyFont="1" applyFill="1" applyBorder="1" applyAlignment="1">
      <alignment horizontal="left"/>
    </xf>
    <xf numFmtId="0" fontId="72" fillId="25" borderId="50" xfId="0" applyFont="1" applyFill="1" applyBorder="1" applyAlignment="1">
      <alignment horizontal="left" vertical="center"/>
    </xf>
    <xf numFmtId="0" fontId="72" fillId="26" borderId="50" xfId="0" applyFont="1" applyFill="1" applyBorder="1" applyAlignment="1">
      <alignment horizontal="left"/>
    </xf>
    <xf numFmtId="0" fontId="72" fillId="26" borderId="50" xfId="0" applyFont="1" applyFill="1" applyBorder="1" applyAlignment="1">
      <alignment horizontal="left" vertical="center"/>
    </xf>
    <xf numFmtId="0" fontId="72" fillId="27" borderId="50" xfId="0" applyFont="1" applyFill="1" applyBorder="1" applyAlignment="1">
      <alignment horizontal="left"/>
    </xf>
    <xf numFmtId="0" fontId="72" fillId="27" borderId="50" xfId="0" applyFont="1" applyFill="1" applyBorder="1" applyAlignment="1">
      <alignment horizontal="left" vertical="center"/>
    </xf>
    <xf numFmtId="0" fontId="74" fillId="0" borderId="0" xfId="0" applyFont="1"/>
    <xf numFmtId="43" fontId="69" fillId="24" borderId="40" xfId="1" applyFont="1" applyFill="1" applyBorder="1" applyAlignment="1">
      <alignment horizontal="center" vertical="center"/>
    </xf>
    <xf numFmtId="43" fontId="69" fillId="24" borderId="39" xfId="1" applyFont="1" applyFill="1" applyBorder="1" applyAlignment="1">
      <alignment horizontal="center" vertical="center"/>
    </xf>
    <xf numFmtId="43" fontId="19" fillId="0" borderId="0" xfId="1" applyFont="1"/>
    <xf numFmtId="43" fontId="73" fillId="0" borderId="50" xfId="1" applyFont="1" applyBorder="1" applyAlignment="1">
      <alignment horizontal="left" vertical="center"/>
    </xf>
    <xf numFmtId="43" fontId="73" fillId="25" borderId="50" xfId="1" applyFont="1" applyFill="1" applyBorder="1" applyAlignment="1">
      <alignment horizontal="left" vertical="center"/>
    </xf>
    <xf numFmtId="43" fontId="70" fillId="0" borderId="0" xfId="1" applyFont="1"/>
    <xf numFmtId="0" fontId="1" fillId="0" borderId="0" xfId="21" applyFont="1"/>
    <xf numFmtId="0" fontId="1" fillId="7" borderId="23" xfId="21" applyFont="1" applyFill="1" applyBorder="1"/>
    <xf numFmtId="0" fontId="1" fillId="7" borderId="23" xfId="21" applyFont="1" applyFill="1" applyBorder="1" applyAlignment="1">
      <alignment wrapText="1"/>
    </xf>
    <xf numFmtId="0" fontId="1" fillId="7" borderId="23" xfId="21" applyFont="1" applyFill="1" applyBorder="1" applyAlignment="1">
      <alignment horizontal="center" wrapText="1"/>
    </xf>
    <xf numFmtId="0" fontId="1" fillId="7" borderId="13" xfId="21" applyFont="1" applyFill="1" applyBorder="1"/>
    <xf numFmtId="0" fontId="1" fillId="7" borderId="13" xfId="21" applyFont="1" applyFill="1" applyBorder="1" applyAlignment="1">
      <alignment horizontal="center"/>
    </xf>
    <xf numFmtId="0" fontId="1" fillId="5" borderId="0" xfId="21" applyFont="1" applyFill="1"/>
    <xf numFmtId="0" fontId="1" fillId="5" borderId="0" xfId="21" applyFont="1" applyFill="1" applyAlignment="1">
      <alignment horizontal="left"/>
    </xf>
    <xf numFmtId="0" fontId="1" fillId="5" borderId="14" xfId="21" applyFont="1" applyFill="1" applyBorder="1"/>
    <xf numFmtId="43" fontId="1" fillId="5" borderId="0" xfId="1" applyFont="1" applyFill="1"/>
    <xf numFmtId="164" fontId="1" fillId="5" borderId="0" xfId="1" applyNumberFormat="1" applyFont="1" applyFill="1"/>
    <xf numFmtId="169" fontId="1" fillId="7" borderId="0" xfId="23" applyNumberFormat="1" applyFill="1"/>
    <xf numFmtId="0" fontId="1" fillId="5" borderId="0" xfId="21" applyFont="1" applyFill="1" applyAlignment="1">
      <alignment wrapText="1"/>
    </xf>
    <xf numFmtId="0" fontId="1" fillId="5" borderId="0" xfId="21" applyFont="1" applyFill="1" applyAlignment="1">
      <alignment horizontal="left" wrapText="1"/>
    </xf>
    <xf numFmtId="10" fontId="9" fillId="2" borderId="0" xfId="10" applyNumberFormat="1" applyFill="1" applyAlignment="1">
      <alignment horizontal="center"/>
    </xf>
    <xf numFmtId="0" fontId="1" fillId="7" borderId="0" xfId="21" applyFont="1" applyFill="1"/>
    <xf numFmtId="0" fontId="1" fillId="7" borderId="0" xfId="21" applyFont="1" applyFill="1" applyAlignment="1">
      <alignment wrapText="1"/>
    </xf>
    <xf numFmtId="169" fontId="14" fillId="7" borderId="0" xfId="23" applyNumberFormat="1" applyFont="1" applyFill="1"/>
    <xf numFmtId="0" fontId="1" fillId="0" borderId="0" xfId="21" applyFont="1" applyAlignment="1">
      <alignment vertical="center"/>
    </xf>
    <xf numFmtId="0" fontId="1" fillId="0" borderId="0" xfId="21" applyFont="1" applyAlignment="1">
      <alignment vertical="center" wrapText="1"/>
    </xf>
    <xf numFmtId="43" fontId="1" fillId="0" borderId="0" xfId="1" applyFont="1"/>
    <xf numFmtId="0" fontId="72" fillId="2" borderId="50" xfId="0" applyFont="1" applyFill="1" applyBorder="1" applyAlignment="1">
      <alignment horizontal="left"/>
    </xf>
    <xf numFmtId="0" fontId="72" fillId="2" borderId="50" xfId="0" applyFont="1" applyFill="1" applyBorder="1" applyAlignment="1">
      <alignment horizontal="left" vertical="center"/>
    </xf>
    <xf numFmtId="43" fontId="73" fillId="2" borderId="50" xfId="1" applyFont="1" applyFill="1" applyBorder="1" applyAlignment="1">
      <alignment horizontal="left" vertical="center"/>
    </xf>
    <xf numFmtId="165" fontId="10" fillId="0" borderId="0" xfId="2" applyNumberFormat="1" applyFont="1"/>
    <xf numFmtId="0" fontId="1" fillId="5" borderId="9" xfId="21" applyFont="1" applyFill="1" applyBorder="1" applyAlignment="1">
      <alignment horizontal="center" wrapText="1"/>
    </xf>
    <xf numFmtId="0" fontId="1" fillId="5" borderId="10" xfId="21" applyFont="1" applyFill="1" applyBorder="1" applyAlignment="1">
      <alignment horizontal="center" wrapText="1"/>
    </xf>
    <xf numFmtId="0" fontId="1" fillId="0" borderId="0" xfId="0" applyFont="1"/>
    <xf numFmtId="0" fontId="1" fillId="7" borderId="3" xfId="0" applyFont="1" applyFill="1" applyBorder="1"/>
    <xf numFmtId="0" fontId="1" fillId="7" borderId="3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 wrapText="1"/>
    </xf>
    <xf numFmtId="0" fontId="1" fillId="7" borderId="13" xfId="0" applyFont="1" applyFill="1" applyBorder="1"/>
    <xf numFmtId="0" fontId="1" fillId="7" borderId="13" xfId="0" applyFont="1" applyFill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14" xfId="0" applyFont="1" applyFill="1" applyBorder="1"/>
    <xf numFmtId="43" fontId="1" fillId="7" borderId="0" xfId="1" applyFont="1" applyFill="1"/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center" wrapText="1"/>
    </xf>
    <xf numFmtId="169" fontId="1" fillId="7" borderId="0" xfId="0" applyNumberFormat="1" applyFont="1" applyFill="1"/>
    <xf numFmtId="0" fontId="1" fillId="7" borderId="0" xfId="0" applyFont="1" applyFill="1"/>
    <xf numFmtId="0" fontId="1" fillId="7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44" fontId="1" fillId="0" borderId="0" xfId="0" applyNumberFormat="1" applyFont="1"/>
    <xf numFmtId="0" fontId="1" fillId="0" borderId="0" xfId="0" applyFont="1" applyAlignment="1">
      <alignment horizontal="justify" vertical="center"/>
    </xf>
    <xf numFmtId="0" fontId="1" fillId="10" borderId="25" xfId="0" applyFont="1" applyFill="1" applyBorder="1" applyAlignment="1">
      <alignment vertical="center"/>
    </xf>
    <xf numFmtId="0" fontId="1" fillId="10" borderId="26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0" borderId="17" xfId="0" applyFont="1" applyBorder="1"/>
    <xf numFmtId="43" fontId="1" fillId="0" borderId="0" xfId="0" applyNumberFormat="1" applyFont="1"/>
    <xf numFmtId="41" fontId="67" fillId="12" borderId="51" xfId="20" quotePrefix="1" applyNumberFormat="1" applyFont="1" applyFill="1" applyBorder="1" applyAlignment="1" applyProtection="1">
      <alignment horizontal="center" vertical="center"/>
    </xf>
    <xf numFmtId="0" fontId="1" fillId="2" borderId="0" xfId="21" applyFont="1" applyFill="1"/>
    <xf numFmtId="44" fontId="1" fillId="0" borderId="0" xfId="21" applyNumberFormat="1" applyFont="1"/>
    <xf numFmtId="0" fontId="32" fillId="9" borderId="51" xfId="21" applyFont="1" applyFill="1" applyBorder="1" applyAlignment="1">
      <alignment horizontal="left" vertical="top" wrapText="1"/>
    </xf>
    <xf numFmtId="0" fontId="32" fillId="9" borderId="52" xfId="21" applyFont="1" applyFill="1" applyBorder="1" applyAlignment="1">
      <alignment horizontal="left" vertical="top" wrapText="1"/>
    </xf>
    <xf numFmtId="0" fontId="1" fillId="0" borderId="0" xfId="21" applyFont="1" applyAlignment="1">
      <alignment horizontal="justify" vertical="center"/>
    </xf>
    <xf numFmtId="0" fontId="40" fillId="0" borderId="3" xfId="21" applyFont="1" applyBorder="1" applyAlignment="1">
      <alignment vertical="center" wrapText="1"/>
    </xf>
    <xf numFmtId="0" fontId="37" fillId="0" borderId="3" xfId="21" applyFont="1" applyBorder="1" applyAlignment="1">
      <alignment horizontal="right" vertical="center"/>
    </xf>
    <xf numFmtId="0" fontId="32" fillId="0" borderId="3" xfId="21" applyFont="1" applyBorder="1" applyAlignment="1">
      <alignment horizontal="right"/>
    </xf>
    <xf numFmtId="43" fontId="40" fillId="2" borderId="3" xfId="1" applyFont="1" applyFill="1" applyBorder="1" applyAlignment="1">
      <alignment horizontal="right" vertical="center" wrapText="1"/>
    </xf>
    <xf numFmtId="0" fontId="1" fillId="10" borderId="25" xfId="21" applyFont="1" applyFill="1" applyBorder="1" applyAlignment="1">
      <alignment vertical="center"/>
    </xf>
    <xf numFmtId="0" fontId="1" fillId="10" borderId="26" xfId="21" applyFont="1" applyFill="1" applyBorder="1" applyAlignment="1">
      <alignment vertical="center"/>
    </xf>
    <xf numFmtId="0" fontId="1" fillId="10" borderId="27" xfId="21" applyFont="1" applyFill="1" applyBorder="1" applyAlignment="1">
      <alignment vertical="center"/>
    </xf>
    <xf numFmtId="0" fontId="1" fillId="0" borderId="17" xfId="21" applyFont="1" applyBorder="1"/>
    <xf numFmtId="43" fontId="1" fillId="0" borderId="0" xfId="21" applyNumberFormat="1" applyFont="1"/>
    <xf numFmtId="0" fontId="39" fillId="0" borderId="3" xfId="21" applyFont="1" applyBorder="1" applyAlignment="1">
      <alignment horizontal="center"/>
    </xf>
    <xf numFmtId="0" fontId="9" fillId="0" borderId="3" xfId="21" applyBorder="1"/>
    <xf numFmtId="0" fontId="1" fillId="7" borderId="3" xfId="21" applyFont="1" applyFill="1" applyBorder="1"/>
    <xf numFmtId="0" fontId="1" fillId="7" borderId="3" xfId="21" applyFont="1" applyFill="1" applyBorder="1" applyAlignment="1">
      <alignment wrapText="1"/>
    </xf>
    <xf numFmtId="0" fontId="1" fillId="7" borderId="3" xfId="21" applyFont="1" applyFill="1" applyBorder="1" applyAlignment="1">
      <alignment horizontal="center" wrapText="1"/>
    </xf>
    <xf numFmtId="0" fontId="40" fillId="0" borderId="0" xfId="0" applyFont="1" applyAlignment="1">
      <alignment vertic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38" fillId="7" borderId="9" xfId="0" applyFont="1" applyFill="1" applyBorder="1" applyAlignment="1">
      <alignment horizontal="left" vertical="center" wrapText="1"/>
    </xf>
    <xf numFmtId="0" fontId="38" fillId="7" borderId="11" xfId="0" applyFont="1" applyFill="1" applyBorder="1" applyAlignment="1">
      <alignment horizontal="left" vertical="center" wrapText="1"/>
    </xf>
    <xf numFmtId="0" fontId="38" fillId="7" borderId="10" xfId="0" applyFont="1" applyFill="1" applyBorder="1" applyAlignment="1">
      <alignment horizontal="left" vertical="center" wrapText="1"/>
    </xf>
    <xf numFmtId="0" fontId="38" fillId="7" borderId="9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0" fontId="38" fillId="7" borderId="10" xfId="0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right" vertical="center"/>
    </xf>
    <xf numFmtId="0" fontId="32" fillId="9" borderId="19" xfId="0" applyFont="1" applyFill="1" applyBorder="1" applyAlignment="1">
      <alignment horizontal="left" vertical="top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0" xfId="0" applyFont="1" applyFill="1" applyBorder="1" applyAlignment="1">
      <alignment horizontal="left" vertical="top" wrapText="1"/>
    </xf>
    <xf numFmtId="0" fontId="32" fillId="9" borderId="21" xfId="0" applyFont="1" applyFill="1" applyBorder="1" applyAlignment="1">
      <alignment horizontal="left" vertical="top" wrapText="1"/>
    </xf>
    <xf numFmtId="0" fontId="32" fillId="9" borderId="0" xfId="0" applyFont="1" applyFill="1" applyAlignment="1">
      <alignment horizontal="left" vertical="top" wrapText="1"/>
    </xf>
    <xf numFmtId="0" fontId="32" fillId="9" borderId="22" xfId="0" applyFont="1" applyFill="1" applyBorder="1" applyAlignment="1">
      <alignment horizontal="left" vertical="top" wrapText="1"/>
    </xf>
    <xf numFmtId="0" fontId="32" fillId="9" borderId="28" xfId="0" applyFont="1" applyFill="1" applyBorder="1" applyAlignment="1">
      <alignment horizontal="left" vertical="top" wrapText="1"/>
    </xf>
    <xf numFmtId="0" fontId="32" fillId="9" borderId="23" xfId="0" applyFont="1" applyFill="1" applyBorder="1" applyAlignment="1">
      <alignment horizontal="left" vertical="top" wrapText="1"/>
    </xf>
    <xf numFmtId="0" fontId="32" fillId="9" borderId="29" xfId="0" applyFont="1" applyFill="1" applyBorder="1" applyAlignment="1">
      <alignment horizontal="left" vertical="top" wrapText="1"/>
    </xf>
    <xf numFmtId="0" fontId="42" fillId="0" borderId="2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15" xfId="0" applyFont="1" applyBorder="1" applyAlignment="1">
      <alignment horizontal="right" vertical="center" wrapText="1"/>
    </xf>
    <xf numFmtId="0" fontId="32" fillId="0" borderId="18" xfId="0" applyFont="1" applyBorder="1" applyAlignment="1">
      <alignment horizontal="right" vertical="center" wrapText="1"/>
    </xf>
    <xf numFmtId="0" fontId="40" fillId="0" borderId="24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11" borderId="0" xfId="0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5" borderId="9" xfId="21" applyFont="1" applyFill="1" applyBorder="1" applyAlignment="1">
      <alignment horizontal="center" wrapText="1"/>
    </xf>
    <xf numFmtId="0" fontId="1" fillId="5" borderId="10" xfId="21" applyFont="1" applyFill="1" applyBorder="1" applyAlignment="1">
      <alignment horizontal="center" wrapText="1"/>
    </xf>
    <xf numFmtId="0" fontId="38" fillId="7" borderId="9" xfId="21" applyFont="1" applyFill="1" applyBorder="1" applyAlignment="1">
      <alignment horizontal="left" vertical="center" wrapText="1"/>
    </xf>
    <xf numFmtId="0" fontId="38" fillId="7" borderId="11" xfId="21" applyFont="1" applyFill="1" applyBorder="1" applyAlignment="1">
      <alignment horizontal="left" vertical="center" wrapText="1"/>
    </xf>
    <xf numFmtId="0" fontId="38" fillId="7" borderId="10" xfId="21" applyFont="1" applyFill="1" applyBorder="1" applyAlignment="1">
      <alignment horizontal="left" vertical="center" wrapText="1"/>
    </xf>
    <xf numFmtId="0" fontId="38" fillId="7" borderId="9" xfId="21" applyFont="1" applyFill="1" applyBorder="1" applyAlignment="1">
      <alignment horizontal="center" vertical="center"/>
    </xf>
    <xf numFmtId="0" fontId="38" fillId="7" borderId="11" xfId="21" applyFont="1" applyFill="1" applyBorder="1" applyAlignment="1">
      <alignment horizontal="center" vertical="center"/>
    </xf>
    <xf numFmtId="0" fontId="38" fillId="7" borderId="10" xfId="21" applyFont="1" applyFill="1" applyBorder="1" applyAlignment="1">
      <alignment horizontal="center" vertical="center"/>
    </xf>
  </cellXfs>
  <cellStyles count="24">
    <cellStyle name="Comma" xfId="1" builtinId="3"/>
    <cellStyle name="Comma 2" xfId="4" xr:uid="{00000000-0005-0000-0000-000001000000}"/>
    <cellStyle name="Comma 3" xfId="6" xr:uid="{00000000-0005-0000-0000-000002000000}"/>
    <cellStyle name="Comma 4" xfId="13" xr:uid="{59391222-FE9E-4583-94F2-B8FEA8A1EC47}"/>
    <cellStyle name="Comma 5" xfId="15" xr:uid="{EA553D73-3C56-4A31-BF9A-F4EFFFAA26C8}"/>
    <cellStyle name="Comma 6" xfId="17" xr:uid="{D8DE5473-FE3B-4402-B9EF-696281E6A802}"/>
    <cellStyle name="Comma 7" xfId="20" xr:uid="{892BF1D7-B2AD-4A08-AFBF-5D4C0E19A6F1}"/>
    <cellStyle name="Comma 95" xfId="11" xr:uid="{00000000-0005-0000-0000-000003000000}"/>
    <cellStyle name="Comma 95 2" xfId="18" xr:uid="{9B3379D1-71E8-448A-8D85-42DF6878B17A}"/>
    <cellStyle name="Comma 95 3" xfId="22" xr:uid="{EE41623E-FADF-42F9-9244-00CF2CA01FF9}"/>
    <cellStyle name="Comma 95 4" xfId="23" xr:uid="{97433D4E-AC65-4860-AB44-7C1A3CD2F860}"/>
    <cellStyle name="Currency" xfId="2" builtinId="4"/>
    <cellStyle name="Normal" xfId="0" builtinId="0"/>
    <cellStyle name="Normal 10" xfId="8" xr:uid="{00000000-0005-0000-0000-000006000000}"/>
    <cellStyle name="Normal 2" xfId="5" xr:uid="{00000000-0005-0000-0000-000007000000}"/>
    <cellStyle name="Normal 3" xfId="12" xr:uid="{4D4E19A9-2531-45ED-B93A-07D83C49C57C}"/>
    <cellStyle name="Normal 4" xfId="14" xr:uid="{83FC44E8-9BC5-45C2-9495-49060CEFCD74}"/>
    <cellStyle name="Normal 4 4" xfId="7" xr:uid="{00000000-0005-0000-0000-000008000000}"/>
    <cellStyle name="Normal 5" xfId="16" xr:uid="{D6C6AE33-9541-4E0C-99C6-38276839376D}"/>
    <cellStyle name="Normal 6" xfId="19" xr:uid="{76DAA879-4DF3-4785-8FB0-EB4E8A2C908C}"/>
    <cellStyle name="Normal 7" xfId="21" xr:uid="{41F4ABC2-B7CE-4667-A913-4905711E195F}"/>
    <cellStyle name="Normal 9 3" xfId="9" xr:uid="{00000000-0005-0000-0000-000009000000}"/>
    <cellStyle name="Normal_Sheet1" xfId="3" xr:uid="{00000000-0005-0000-0000-00000A000000}"/>
    <cellStyle name="Percent 2" xfId="10" xr:uid="{00000000-0005-0000-0000-00000B000000}"/>
  </cellStyles>
  <dxfs count="22"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9818070-81B6-40C4-AB95-61627A7DB3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Link="$R$1" fmlaRange="$P$1:$P$2" sel="1" val="0"/>
</file>

<file path=xl/ctrlProps/ctrlProp2.xml><?xml version="1.0" encoding="utf-8"?>
<formControlPr xmlns="http://schemas.microsoft.com/office/spreadsheetml/2009/9/main" objectType="Drop" dropStyle="combo" dx="16" fmlaLink="$C$17" fmlaRange="$D$17:$D$18" sel="2" val="0"/>
</file>

<file path=xl/ctrlProps/ctrlProp3.xml><?xml version="1.0" encoding="utf-8"?>
<formControlPr xmlns="http://schemas.microsoft.com/office/spreadsheetml/2009/9/main" objectType="Drop" dropStyle="combo" dx="16" fmlaLink="$R$1" fmlaRange="$P$1:$P$2" sel="1" val="0"/>
</file>

<file path=xl/ctrlProps/ctrlProp4.xml><?xml version="1.0" encoding="utf-8"?>
<formControlPr xmlns="http://schemas.microsoft.com/office/spreadsheetml/2009/9/main" objectType="Drop" dropStyle="combo" dx="16" fmlaLink="$C$17" fmlaRange="$D$17:$D$1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3" Type="http://schemas.openxmlformats.org/officeDocument/2006/relationships/image" Target="../media/image17.png"/><Relationship Id="rId21" Type="http://schemas.openxmlformats.org/officeDocument/2006/relationships/image" Target="../media/image35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5" Type="http://schemas.openxmlformats.org/officeDocument/2006/relationships/image" Target="../media/image39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20" Type="http://schemas.openxmlformats.org/officeDocument/2006/relationships/image" Target="../media/image34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24" Type="http://schemas.openxmlformats.org/officeDocument/2006/relationships/image" Target="../media/image38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23" Type="http://schemas.openxmlformats.org/officeDocument/2006/relationships/image" Target="../media/image37.png"/><Relationship Id="rId10" Type="http://schemas.openxmlformats.org/officeDocument/2006/relationships/image" Target="../media/image24.png"/><Relationship Id="rId19" Type="http://schemas.openxmlformats.org/officeDocument/2006/relationships/image" Target="../media/image33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Relationship Id="rId22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13" Type="http://schemas.openxmlformats.org/officeDocument/2006/relationships/image" Target="../media/image52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12" Type="http://schemas.openxmlformats.org/officeDocument/2006/relationships/image" Target="../media/image51.png"/><Relationship Id="rId17" Type="http://schemas.openxmlformats.org/officeDocument/2006/relationships/image" Target="../media/image56.png"/><Relationship Id="rId2" Type="http://schemas.openxmlformats.org/officeDocument/2006/relationships/image" Target="../media/image41.png"/><Relationship Id="rId16" Type="http://schemas.openxmlformats.org/officeDocument/2006/relationships/image" Target="../media/image55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5" Type="http://schemas.openxmlformats.org/officeDocument/2006/relationships/image" Target="../media/image44.png"/><Relationship Id="rId15" Type="http://schemas.openxmlformats.org/officeDocument/2006/relationships/image" Target="../media/image54.png"/><Relationship Id="rId10" Type="http://schemas.openxmlformats.org/officeDocument/2006/relationships/image" Target="../media/image49.png"/><Relationship Id="rId4" Type="http://schemas.openxmlformats.org/officeDocument/2006/relationships/image" Target="../media/image43.png"/><Relationship Id="rId9" Type="http://schemas.openxmlformats.org/officeDocument/2006/relationships/image" Target="../media/image48.png"/><Relationship Id="rId14" Type="http://schemas.openxmlformats.org/officeDocument/2006/relationships/image" Target="../media/image5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12289" name="FPMExcelClientSheetOptions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12290" name="ConnectionDescriptorsInfotb1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12291" name="MultipleReportManagerInfotb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12293" name="CustomMemberDispatchertb1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37644</xdr:colOff>
      <xdr:row>27</xdr:row>
      <xdr:rowOff>163968</xdr:rowOff>
    </xdr:from>
    <xdr:to>
      <xdr:col>14</xdr:col>
      <xdr:colOff>1077685</xdr:colOff>
      <xdr:row>29</xdr:row>
      <xdr:rowOff>97972</xdr:rowOff>
    </xdr:to>
    <xdr:sp macro="[19]!REFRESH1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901484" y="2038488"/>
          <a:ext cx="1040041" cy="36072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22860</xdr:rowOff>
        </xdr:from>
        <xdr:to>
          <xdr:col>15</xdr:col>
          <xdr:colOff>121920</xdr:colOff>
          <xdr:row>27</xdr:row>
          <xdr:rowOff>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975360</xdr:colOff>
          <xdr:row>19</xdr:row>
          <xdr:rowOff>114300</xdr:rowOff>
        </xdr:from>
        <xdr:to>
          <xdr:col>11</xdr:col>
          <xdr:colOff>2346960</xdr:colOff>
          <xdr:row>19</xdr:row>
          <xdr:rowOff>350520</xdr:rowOff>
        </xdr:to>
        <xdr:sp macro="" textlink="">
          <xdr:nvSpPr>
            <xdr:cNvPr id="12295" name="CheckBox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293914</xdr:colOff>
      <xdr:row>19</xdr:row>
      <xdr:rowOff>175804</xdr:rowOff>
    </xdr:from>
    <xdr:to>
      <xdr:col>10</xdr:col>
      <xdr:colOff>1959429</xdr:colOff>
      <xdr:row>23</xdr:row>
      <xdr:rowOff>64407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94" y="175804"/>
          <a:ext cx="2671355" cy="8563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19</xdr:row>
          <xdr:rowOff>373380</xdr:rowOff>
        </xdr:from>
        <xdr:to>
          <xdr:col>15</xdr:col>
          <xdr:colOff>144780</xdr:colOff>
          <xdr:row>21</xdr:row>
          <xdr:rowOff>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7170" name="ConnectionDescriptorsInfotb1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7171" name="MultipleReportManagerInfotb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7172" name="AnalyzerDynReport000tb1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0</xdr:rowOff>
        </xdr:to>
        <xdr:sp macro="" textlink="">
          <xdr:nvSpPr>
            <xdr:cNvPr id="7173" name="CustomMemberDispatchertb1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37644</xdr:colOff>
      <xdr:row>27</xdr:row>
      <xdr:rowOff>163968</xdr:rowOff>
    </xdr:from>
    <xdr:to>
      <xdr:col>14</xdr:col>
      <xdr:colOff>1077685</xdr:colOff>
      <xdr:row>29</xdr:row>
      <xdr:rowOff>97972</xdr:rowOff>
    </xdr:to>
    <xdr:sp macro="[20]!REFRESH1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7901484" y="2038488"/>
          <a:ext cx="1040041" cy="36072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26</xdr:row>
          <xdr:rowOff>22860</xdr:rowOff>
        </xdr:from>
        <xdr:to>
          <xdr:col>15</xdr:col>
          <xdr:colOff>121920</xdr:colOff>
          <xdr:row>27</xdr:row>
          <xdr:rowOff>0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975360</xdr:colOff>
          <xdr:row>19</xdr:row>
          <xdr:rowOff>114300</xdr:rowOff>
        </xdr:from>
        <xdr:to>
          <xdr:col>11</xdr:col>
          <xdr:colOff>2346960</xdr:colOff>
          <xdr:row>19</xdr:row>
          <xdr:rowOff>350520</xdr:rowOff>
        </xdr:to>
        <xdr:sp macro="" textlink="">
          <xdr:nvSpPr>
            <xdr:cNvPr id="7175" name="CheckBox1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293914</xdr:colOff>
      <xdr:row>19</xdr:row>
      <xdr:rowOff>175804</xdr:rowOff>
    </xdr:from>
    <xdr:to>
      <xdr:col>10</xdr:col>
      <xdr:colOff>1959429</xdr:colOff>
      <xdr:row>23</xdr:row>
      <xdr:rowOff>64407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94" y="175804"/>
          <a:ext cx="2671355" cy="8563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19</xdr:row>
          <xdr:rowOff>373380</xdr:rowOff>
        </xdr:from>
        <xdr:to>
          <xdr:col>15</xdr:col>
          <xdr:colOff>144780</xdr:colOff>
          <xdr:row>21</xdr:row>
          <xdr:rowOff>0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25</xdr:row>
      <xdr:rowOff>133350</xdr:rowOff>
    </xdr:from>
    <xdr:ext cx="11506200" cy="38290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324350"/>
          <a:ext cx="11509687" cy="383667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20</xdr:col>
      <xdr:colOff>304800</xdr:colOff>
      <xdr:row>50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93920"/>
          <a:ext cx="12790476" cy="3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21</xdr:col>
      <xdr:colOff>19050</xdr:colOff>
      <xdr:row>75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17280"/>
          <a:ext cx="13114286" cy="3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21</xdr:col>
      <xdr:colOff>114300</xdr:colOff>
      <xdr:row>103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075920"/>
          <a:ext cx="13209524" cy="4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20</xdr:col>
      <xdr:colOff>457200</xdr:colOff>
      <xdr:row>130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769840"/>
          <a:ext cx="12942857" cy="4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20</xdr:col>
      <xdr:colOff>342900</xdr:colOff>
      <xdr:row>158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296120"/>
          <a:ext cx="12828571" cy="4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20</xdr:col>
      <xdr:colOff>571500</xdr:colOff>
      <xdr:row>185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6990040"/>
          <a:ext cx="13057143" cy="4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22</xdr:col>
      <xdr:colOff>19050</xdr:colOff>
      <xdr:row>214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516320"/>
          <a:ext cx="13723809" cy="4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20</xdr:col>
      <xdr:colOff>581025</xdr:colOff>
      <xdr:row>240</xdr:row>
      <xdr:rowOff>104775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6210240"/>
          <a:ext cx="13066667" cy="4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23</xdr:col>
      <xdr:colOff>19050</xdr:colOff>
      <xdr:row>268</xdr:row>
      <xdr:rowOff>104775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0736520"/>
          <a:ext cx="14333333" cy="4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21</xdr:col>
      <xdr:colOff>457200</xdr:colOff>
      <xdr:row>296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5598080"/>
          <a:ext cx="13552381" cy="4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20</xdr:col>
      <xdr:colOff>438150</xdr:colOff>
      <xdr:row>326</xdr:row>
      <xdr:rowOff>28575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0124360"/>
          <a:ext cx="12923809" cy="4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21</xdr:col>
      <xdr:colOff>390525</xdr:colOff>
      <xdr:row>353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55153560"/>
          <a:ext cx="13485714" cy="4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22</xdr:col>
      <xdr:colOff>381000</xdr:colOff>
      <xdr:row>381</xdr:row>
      <xdr:rowOff>133350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9679840"/>
          <a:ext cx="14085714" cy="4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21</xdr:col>
      <xdr:colOff>161925</xdr:colOff>
      <xdr:row>409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4541400"/>
          <a:ext cx="13257143" cy="4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20</xdr:col>
      <xdr:colOff>257175</xdr:colOff>
      <xdr:row>436</xdr:row>
      <xdr:rowOff>57150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9067680"/>
          <a:ext cx="12742857" cy="4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21</xdr:col>
      <xdr:colOff>476250</xdr:colOff>
      <xdr:row>464</xdr:row>
      <xdr:rowOff>76200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73593960"/>
          <a:ext cx="13571428" cy="42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20</xdr:col>
      <xdr:colOff>428625</xdr:colOff>
      <xdr:row>491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8287880"/>
          <a:ext cx="12914286" cy="4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21</xdr:col>
      <xdr:colOff>114300</xdr:colOff>
      <xdr:row>520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82981800"/>
          <a:ext cx="13209524" cy="4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20</xdr:col>
      <xdr:colOff>390525</xdr:colOff>
      <xdr:row>549</xdr:row>
      <xdr:rowOff>38100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87675720"/>
          <a:ext cx="12876190" cy="4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22</xdr:col>
      <xdr:colOff>190500</xdr:colOff>
      <xdr:row>576</xdr:row>
      <xdr:rowOff>114300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92537280"/>
          <a:ext cx="13895238" cy="4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21</xdr:col>
      <xdr:colOff>57150</xdr:colOff>
      <xdr:row>605</xdr:row>
      <xdr:rowOff>85725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97063560"/>
          <a:ext cx="13152381" cy="4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21</xdr:col>
      <xdr:colOff>76200</xdr:colOff>
      <xdr:row>633</xdr:row>
      <xdr:rowOff>123825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01925120"/>
          <a:ext cx="13171428" cy="4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20</xdr:col>
      <xdr:colOff>285750</xdr:colOff>
      <xdr:row>661</xdr:row>
      <xdr:rowOff>19050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06619040"/>
          <a:ext cx="12771428" cy="4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664</xdr:row>
      <xdr:rowOff>0</xdr:rowOff>
    </xdr:from>
    <xdr:to>
      <xdr:col>21</xdr:col>
      <xdr:colOff>0</xdr:colOff>
      <xdr:row>688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11312960"/>
          <a:ext cx="13095238" cy="4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20</xdr:col>
      <xdr:colOff>419100</xdr:colOff>
      <xdr:row>720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16006880"/>
          <a:ext cx="12904762" cy="46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21</xdr:col>
      <xdr:colOff>95250</xdr:colOff>
      <xdr:row>52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1560"/>
          <a:ext cx="13076190" cy="39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21</xdr:col>
      <xdr:colOff>304800</xdr:colOff>
      <xdr:row>79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87840"/>
          <a:ext cx="13285714" cy="4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21</xdr:col>
      <xdr:colOff>447675</xdr:colOff>
      <xdr:row>107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081760"/>
          <a:ext cx="13428571" cy="3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21</xdr:col>
      <xdr:colOff>552450</xdr:colOff>
      <xdr:row>136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608040"/>
          <a:ext cx="13533333" cy="4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21</xdr:col>
      <xdr:colOff>323850</xdr:colOff>
      <xdr:row>165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469600"/>
          <a:ext cx="13304762" cy="4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21</xdr:col>
      <xdr:colOff>571500</xdr:colOff>
      <xdr:row>192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31160"/>
          <a:ext cx="13552381" cy="3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20</xdr:col>
      <xdr:colOff>523875</xdr:colOff>
      <xdr:row>219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2689800"/>
          <a:ext cx="12895238" cy="4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22</xdr:col>
      <xdr:colOff>0</xdr:colOff>
      <xdr:row>246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216080"/>
          <a:ext cx="13590476" cy="4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21</xdr:col>
      <xdr:colOff>0</xdr:colOff>
      <xdr:row>275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41910000"/>
          <a:ext cx="12980952" cy="4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20</xdr:col>
      <xdr:colOff>457200</xdr:colOff>
      <xdr:row>302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6771560"/>
          <a:ext cx="12828571" cy="3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21</xdr:col>
      <xdr:colOff>114300</xdr:colOff>
      <xdr:row>330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51297840"/>
          <a:ext cx="13095238" cy="4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20</xdr:col>
      <xdr:colOff>285750</xdr:colOff>
      <xdr:row>357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55824120"/>
          <a:ext cx="12657143" cy="4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23</xdr:col>
      <xdr:colOff>104775</xdr:colOff>
      <xdr:row>386</xdr:row>
      <xdr:rowOff>95250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0518040"/>
          <a:ext cx="14304762" cy="4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21</xdr:col>
      <xdr:colOff>9525</xdr:colOff>
      <xdr:row>414</xdr:row>
      <xdr:rowOff>47625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65211960"/>
          <a:ext cx="12990476" cy="4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20</xdr:col>
      <xdr:colOff>428625</xdr:colOff>
      <xdr:row>440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9905880"/>
          <a:ext cx="12800000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21</xdr:col>
      <xdr:colOff>38100</xdr:colOff>
      <xdr:row>467</xdr:row>
      <xdr:rowOff>19050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74264520"/>
          <a:ext cx="13019047" cy="4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21</xdr:col>
      <xdr:colOff>152400</xdr:colOff>
      <xdr:row>496</xdr:row>
      <xdr:rowOff>123825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8958440"/>
          <a:ext cx="13133333" cy="43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219755</xdr:colOff>
      <xdr:row>19</xdr:row>
      <xdr:rowOff>468191</xdr:rowOff>
    </xdr:from>
    <xdr:to>
      <xdr:col>10</xdr:col>
      <xdr:colOff>1887006</xdr:colOff>
      <xdr:row>24</xdr:row>
      <xdr:rowOff>84448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055" y="468191"/>
          <a:ext cx="2673091" cy="8430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219755</xdr:colOff>
      <xdr:row>19</xdr:row>
      <xdr:rowOff>468191</xdr:rowOff>
    </xdr:from>
    <xdr:to>
      <xdr:col>10</xdr:col>
      <xdr:colOff>1887006</xdr:colOff>
      <xdr:row>24</xdr:row>
      <xdr:rowOff>84448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055" y="468191"/>
          <a:ext cx="2673091" cy="8430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121920</xdr:rowOff>
    </xdr:from>
    <xdr:to>
      <xdr:col>18</xdr:col>
      <xdr:colOff>336363</xdr:colOff>
      <xdr:row>33</xdr:row>
      <xdr:rowOff>76661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89560"/>
          <a:ext cx="12497883" cy="5319221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22</xdr:row>
      <xdr:rowOff>60960</xdr:rowOff>
    </xdr:from>
    <xdr:to>
      <xdr:col>18</xdr:col>
      <xdr:colOff>365760</xdr:colOff>
      <xdr:row>31</xdr:row>
      <xdr:rowOff>7620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266700" y="3749040"/>
          <a:ext cx="12496800" cy="14554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+LTD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Controller/RateCase/2024%20MFR%20Documents1/MFR%20Schedules/2024%20Budget/Schedules%20B/Working%20Schedules/B-24/Worksheet%20in%20C%20%20Users%20abuettikofer%20AppData%20Local%20Microsoft%20Windows%20Temporary%20Internet%20Files%20Content.Outlook%20BHVXXRG7%20Interface%20-%20Excel%20JE%20Upload.docx?361652D4" TargetMode="External"/><Relationship Id="rId1" Type="http://schemas.openxmlformats.org/officeDocument/2006/relationships/externalLinkPath" Target="file:///\\361652D4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5%20Budget%20with%2004%20Actuals%20and%20Budget%20Comp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nancial.emera.com/emeracontroller/consolidation/TECO/TECO%20MDA%20and%20FS%20Numbers%20-%20Q1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CO%20Q2%202018%20MDA%20and%20FS%20Number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dia_Updated_Maint_TYSP18_TEFIS%20Inputs_03-26-2018_V18.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maining%20Lease%20Payment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p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_REPT\FIN_REPT\Financial%20Reporting%20Team\Quarterly%20Items\Lease%20Footnote\Q4%202020\Revised%20Operating%20Expens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perating%20Expens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IAL_BALANCE_REPORT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R_E_BJ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LANCE_SHEET_REPORT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JE%2090767%2005_31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U%202000%20Sink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6%20Budget%20FINAL%20with%20Dec%2005%20actuals.upda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reakeven3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tecoenergy.sharepoint.com/sites/Controller/RateCase/2024%20MFR%20Documents1/MFR%20Schedules/2024%20Budget/Schedules%20B/Working%20Schedules/B-24/Plaza%20Lease%20Amortization%20Schedule%20JE%2080018%20effective%203_01_2015%20revised%20sq%20feet%20Accts_Pay.xlsx?361652D4" TargetMode="External"/><Relationship Id="rId1" Type="http://schemas.openxmlformats.org/officeDocument/2006/relationships/externalLinkPath" Target="file:///\\361652D4\Plaza%20Lease%20Amortization%20Schedule%20JE%2080018%20effective%203_01_2015%20revised%20sq%20feet%20Accts_Pa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za%20Lease%20Amortization%20Schedule%20JE90067%20effective%201_1_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10QB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D_FOS_BS1"/>
      <sheetName val="D_FOS_BS2"/>
      <sheetName val="D_FOS_BS3"/>
      <sheetName val="D_FOS_BS4"/>
      <sheetName val="D_FOS_BS5"/>
      <sheetName val="D_FOS_BS6"/>
      <sheetName val="D_FOS_BS7"/>
      <sheetName val="D_FOS_BS8"/>
      <sheetName val="D_FOS_BS9"/>
      <sheetName val="D_FOS_BS10"/>
      <sheetName val="D_FOS_BS11"/>
      <sheetName val="A12"/>
      <sheetName val="D_FOS_BS12"/>
      <sheetName val="D_FOS_B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ROE"/>
      <sheetName val="INT ANALYSIS"/>
      <sheetName val="DEF REV INT 95"/>
      <sheetName val="DEF REV INT 96"/>
      <sheetName val="DEF REV INT 97"/>
      <sheetName val="OOR MEMO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CONSOL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e Dates "/>
      <sheetName val="IR Status"/>
      <sheetName val="Pension"/>
      <sheetName val="Non-Cash Disclosure"/>
      <sheetName val="TEC Clauses"/>
      <sheetName val="PGS Clauses "/>
      <sheetName val="Emera Florida Commitments"/>
      <sheetName val="Emera Florida MDA Environmental"/>
      <sheetName val="Contractual Obligations"/>
      <sheetName val="Lessee"/>
      <sheetName val="Lessor- TEC"/>
      <sheetName val="Revenue"/>
      <sheetName val="Investment Ownership %"/>
      <sheetName val="Regulatory_A&amp;L"/>
      <sheetName val="Forecasted_CAPEX YE"/>
      <sheetName val="Risks"/>
      <sheetName val="Off-Balance Sheet"/>
      <sheetName val="Collaborative Arrangements"/>
      <sheetName val="List"/>
      <sheetName val="Related Parties"/>
      <sheetName val="Financing Lease YE"/>
      <sheetName val="Related Parties Instructions"/>
      <sheetName val="Cash Acc Policy YE"/>
      <sheetName val="Sig Accting Policy_ARO YE"/>
      <sheetName val="ARO YE"/>
      <sheetName val="PPE YE"/>
      <sheetName val="Intangible Assets"/>
      <sheetName val="Capitalized Overhead YE"/>
      <sheetName val="AFUDC YE"/>
      <sheetName val="Depreciation YE"/>
      <sheetName val="Capitalized Interest YE"/>
      <sheetName val="Restricted Cash"/>
      <sheetName val="AR Past Due"/>
      <sheetName val="Concentration risk YE"/>
      <sheetName val="Concentration Risks YE"/>
      <sheetName val="Cash Collateral"/>
      <sheetName val="Goodwill YE"/>
      <sheetName val="Investment Securities"/>
      <sheetName val="Debt Q"/>
      <sheetName val="Debt Maturities"/>
      <sheetName val="CO-LT Debt-Interest"/>
      <sheetName val="Short Term debt YE"/>
      <sheetName val="Long-term debt YE"/>
      <sheetName val="Debt Listing"/>
      <sheetName val="Debt Covenants"/>
      <sheetName val="Credit Facilities"/>
      <sheetName val="Fair Value of Debt"/>
      <sheetName val="Deferred Financing Cost"/>
      <sheetName val="Operating Stats YE"/>
      <sheetName val="Regulated Stats RE"/>
      <sheetName val="VALID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***Select***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2" t="str">
            <v>Millions of</v>
          </cell>
        </row>
        <row r="22">
          <cell r="A22"/>
        </row>
        <row r="23">
          <cell r="A23" t="str">
            <v>Periods:</v>
          </cell>
        </row>
        <row r="24">
          <cell r="A24">
            <v>43555</v>
          </cell>
        </row>
        <row r="25">
          <cell r="A25">
            <v>43646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Due Dates"/>
      <sheetName val="Pension"/>
      <sheetName val="Non-Cash Disclosure"/>
      <sheetName val="Investment Ownership %"/>
      <sheetName val="TEC Clauses"/>
      <sheetName val="Emera Florida&amp;NM"/>
      <sheetName val="Emera Florida Commitments"/>
      <sheetName val="Emera Florida MDA Environmental"/>
      <sheetName val="Regulatory_A&amp;L"/>
      <sheetName val="Reg Matters"/>
      <sheetName val="Risk"/>
      <sheetName val="Contractual Obligations"/>
      <sheetName val="Forecasted_CAPEX"/>
      <sheetName val="Off-Balance Sheet"/>
      <sheetName val="Collaborative Arrangements"/>
      <sheetName val="Operating Stats"/>
      <sheetName val="Regulated Stats"/>
      <sheetName val="Related Parties Instructions"/>
      <sheetName val="Related Parties"/>
      <sheetName val="Financing Lease"/>
      <sheetName val="Leases"/>
      <sheetName val="Cash Acc Policy"/>
      <sheetName val="Sig Accting Policy_ARO"/>
      <sheetName val="ARO"/>
      <sheetName val="PPE"/>
      <sheetName val="Intangible Assets"/>
      <sheetName val="Capitalized Overhead"/>
      <sheetName val="AFUDC"/>
      <sheetName val="Depreciation"/>
      <sheetName val="Capitalized Interest"/>
      <sheetName val="Restricted Cash"/>
      <sheetName val="AR Past Due"/>
      <sheetName val="Concentration Risk"/>
      <sheetName val="Regulatory A&amp;L"/>
      <sheetName val="Concentration risk_Customer dep"/>
      <sheetName val="Cash Collateral"/>
      <sheetName val="Goodwill"/>
      <sheetName val="Investment Securities"/>
      <sheetName val="VIE"/>
      <sheetName val="Short Term debt"/>
      <sheetName val="Revenue"/>
      <sheetName val="Debt Q"/>
      <sheetName val="Debt Maturities"/>
      <sheetName val="CO-LT Debt-Interest"/>
      <sheetName val="Long-term debt YE"/>
      <sheetName val="Debt Listing"/>
      <sheetName val="Debt Covenants"/>
      <sheetName val="Credit Facilities"/>
      <sheetName val="Fair Value of Debt"/>
      <sheetName val="Deferred Financing Cost"/>
      <sheetName val="VALIDATIONS"/>
    </sheetNames>
    <sheetDataSet>
      <sheetData sheetId="0">
        <row r="1">
          <cell r="A1" t="str">
            <v>Emera Florida and New Mexico</v>
          </cell>
        </row>
        <row r="14">
          <cell r="A14">
            <v>0</v>
          </cell>
        </row>
        <row r="15">
          <cell r="A15" t="str">
            <v>Periods:</v>
          </cell>
        </row>
        <row r="16">
          <cell r="A16">
            <v>43190</v>
          </cell>
        </row>
        <row r="17">
          <cell r="A17">
            <v>43281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New Capital"/>
      <sheetName val="New O&amp;M"/>
      <sheetName val="VOM"/>
      <sheetName val="FOM"/>
      <sheetName val="CC CSA Cost"/>
      <sheetName val="INT"/>
      <sheetName val="Unit_FERC"/>
      <sheetName val="Cost V18.0"/>
      <sheetName val="Quantity V18.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maining Lease Term Calc"/>
    </sheetNames>
    <sheetDataSet>
      <sheetData sheetId="0">
        <row r="2">
          <cell r="E2">
            <v>4.75</v>
          </cell>
        </row>
        <row r="3">
          <cell r="E3">
            <v>65.25</v>
          </cell>
        </row>
        <row r="4">
          <cell r="E4">
            <v>15</v>
          </cell>
        </row>
        <row r="5">
          <cell r="E5">
            <v>29.75</v>
          </cell>
        </row>
        <row r="6">
          <cell r="E6">
            <v>0.83333333333333337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</sheetNames>
    <sheetDataSet>
      <sheetData sheetId="0">
        <row r="3">
          <cell r="D3">
            <v>1505567.25</v>
          </cell>
          <cell r="E3">
            <v>2007423</v>
          </cell>
          <cell r="F3">
            <v>2007423</v>
          </cell>
          <cell r="G3">
            <v>2007423</v>
          </cell>
          <cell r="H3">
            <v>1505567.25</v>
          </cell>
          <cell r="I3">
            <v>0</v>
          </cell>
        </row>
        <row r="4">
          <cell r="D4">
            <v>35525.87999999999</v>
          </cell>
          <cell r="E4">
            <v>36946.92</v>
          </cell>
          <cell r="F4">
            <v>38424.720000000001</v>
          </cell>
          <cell r="G4">
            <v>39961.80000000001</v>
          </cell>
          <cell r="H4">
            <v>41560.19999999999</v>
          </cell>
          <cell r="I4">
            <v>518935.80000000005</v>
          </cell>
        </row>
        <row r="5">
          <cell r="D5">
            <v>157989.29999999996</v>
          </cell>
          <cell r="E5">
            <v>175763.09624999997</v>
          </cell>
          <cell r="F5">
            <v>181687.69499999995</v>
          </cell>
          <cell r="G5">
            <v>181687.69499999995</v>
          </cell>
          <cell r="H5">
            <v>181687.69499999995</v>
          </cell>
          <cell r="I5">
            <v>29733411.541476905</v>
          </cell>
        </row>
        <row r="6">
          <cell r="D6">
            <v>550705.57157791441</v>
          </cell>
          <cell r="E6">
            <v>560618.27186631679</v>
          </cell>
          <cell r="F6">
            <v>570709.40075991047</v>
          </cell>
          <cell r="G6">
            <v>580982.1699735889</v>
          </cell>
          <cell r="H6">
            <v>591439.84903311345</v>
          </cell>
          <cell r="I6">
            <v>18028815.4113722</v>
          </cell>
        </row>
        <row r="7">
          <cell r="D7">
            <v>129669.10000000002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17">
          <cell r="D17">
            <v>1115758.5235525519</v>
          </cell>
          <cell r="E17">
            <v>1050057.3392673857</v>
          </cell>
          <cell r="F17">
            <v>982604.47747871326</v>
          </cell>
          <cell r="G17">
            <v>911964.63543716958</v>
          </cell>
          <cell r="H17">
            <v>839644.72110202443</v>
          </cell>
          <cell r="I17">
            <v>29972370.322119486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Lease Costs"/>
    </sheetNames>
    <sheetDataSet>
      <sheetData sheetId="0">
        <row r="32">
          <cell r="B32">
            <v>3471878.06</v>
          </cell>
        </row>
        <row r="33">
          <cell r="B33">
            <v>1048561.5099999999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Lease Costs"/>
    </sheetNames>
    <sheetDataSet>
      <sheetData sheetId="0">
        <row r="5">
          <cell r="B5">
            <v>4619772.72</v>
          </cell>
        </row>
        <row r="23">
          <cell r="B23">
            <v>433503.89</v>
          </cell>
        </row>
        <row r="27">
          <cell r="B27">
            <v>298311.33999999997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TRIAL_BALANCE"/>
      <sheetName val="TRIAL_BALANCE_REPORT2"/>
    </sheetNames>
    <definedNames>
      <definedName name="REFRESH1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BALANCE_SHEET"/>
      <sheetName val="BALANCE_SHEET_REPORT2"/>
    </sheetNames>
    <definedNames>
      <definedName name="REFRESH1"/>
    </defined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S"/>
      <sheetName val="May Payroll Query "/>
      <sheetName val="Apr True u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Sheet"/>
      <sheetName val="10.3"/>
      <sheetName val="10.15%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Quarterly Recons Budget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GOAL 7 BUD"/>
      <sheetName val="OOR TEFIS"/>
      <sheetName val="OOR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INT ANALYSIS"/>
      <sheetName val="DEF REV INT 95"/>
      <sheetName val="DEF REV INT 96"/>
      <sheetName val="DEF REV INT 97"/>
      <sheetName val="OOR MEMO"/>
      <sheetName val="ROE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TECO Energy IS"/>
      <sheetName val="ENRGYCONSOL"/>
      <sheetName val="TECO Energy BS"/>
      <sheetName val="TECO Energy CF"/>
      <sheetName val="CASH"/>
      <sheetName val="Download Dec 2004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  <sheetName val="CASH FLOWS "/>
      <sheetName val="CASH FLOWS b"/>
      <sheetName val="CASH FLOWS bk"/>
      <sheetName val="CASH FLOWS bku"/>
      <sheetName val="CASH FLOWS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Curve"/>
      <sheetName val="Input"/>
      <sheetName val="Display"/>
      <sheetName val="Duration"/>
      <sheetName val="Flipbook"/>
      <sheetName val="Breakeve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Amort"/>
      <sheetName val="2010 Budget -  Dfrd Lease Bal"/>
      <sheetName val="Lease Exp without sales tax"/>
      <sheetName val="sales tax"/>
      <sheetName val="Lease Exp with sales tax"/>
      <sheetName val="sq footage"/>
      <sheetName val="JE 90067 "/>
      <sheetName val="Square Footage"/>
      <sheetName val="253 19 20 May 1 Balance"/>
      <sheetName val="253 19 20 June 1 Balance "/>
      <sheetName val="253 19 20 June 30 Bal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Amort"/>
      <sheetName val="2010 Budget -  Dfrd Lease Bal"/>
      <sheetName val="Lease Exp without sales tax"/>
      <sheetName val="sales tax"/>
      <sheetName val="Lease Exp with sales tax"/>
      <sheetName val="sq footage"/>
      <sheetName val="JE 90067 "/>
      <sheetName val="Jan 2010-Adjusted Budget (2)"/>
      <sheetName val="Square Footage"/>
      <sheetName val="Sales Tax on Lease Exp"/>
      <sheetName val="253 19 20 May 1 Balance"/>
      <sheetName val="253 19 20 June 1 Balance "/>
      <sheetName val="253 19 20 June 30 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_FOS_B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trlProp" Target="../ctrlProps/ctrlProp1.xml"/><Relationship Id="rId2" Type="http://schemas.openxmlformats.org/officeDocument/2006/relationships/customProperty" Target="../customProperty4.bin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control" Target="../activeX/activeX11.xml"/><Relationship Id="rId1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ontrol" Target="../activeX/activeX8.xml"/><Relationship Id="rId12" Type="http://schemas.openxmlformats.org/officeDocument/2006/relationships/image" Target="../media/image11.emf"/><Relationship Id="rId17" Type="http://schemas.openxmlformats.org/officeDocument/2006/relationships/ctrlProp" Target="../ctrlProps/ctrlProp3.xml"/><Relationship Id="rId2" Type="http://schemas.openxmlformats.org/officeDocument/2006/relationships/customProperty" Target="../customProperty5.bin"/><Relationship Id="rId16" Type="http://schemas.openxmlformats.org/officeDocument/2006/relationships/image" Target="../media/image13.emf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8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5" Type="http://schemas.openxmlformats.org/officeDocument/2006/relationships/control" Target="../activeX/activeX12.xml"/><Relationship Id="rId10" Type="http://schemas.openxmlformats.org/officeDocument/2006/relationships/image" Target="../media/image10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9.xml"/><Relationship Id="rId14" Type="http://schemas.openxmlformats.org/officeDocument/2006/relationships/image" Target="../media/image12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7B726-3BE8-4B42-AFF9-D5B81E586F78}">
  <dimension ref="A1:T59"/>
  <sheetViews>
    <sheetView tabSelected="1" view="pageBreakPreview" zoomScaleNormal="100" zoomScaleSheetLayoutView="100" workbookViewId="0">
      <selection activeCell="S7" sqref="S7"/>
    </sheetView>
  </sheetViews>
  <sheetFormatPr defaultColWidth="9.109375" defaultRowHeight="14.1" customHeight="1" x14ac:dyDescent="0.2"/>
  <cols>
    <col min="1" max="1" width="4.6640625" style="5" customWidth="1"/>
    <col min="2" max="2" width="6.88671875" style="5" bestFit="1" customWidth="1"/>
    <col min="3" max="4" width="9.5546875" style="5" customWidth="1"/>
    <col min="5" max="5" width="6.6640625" style="5" customWidth="1"/>
    <col min="6" max="6" width="12.44140625" style="5" customWidth="1"/>
    <col min="7" max="7" width="5.6640625" style="5" customWidth="1"/>
    <col min="8" max="8" width="9.5546875" style="5" bestFit="1" customWidth="1"/>
    <col min="9" max="9" width="11.5546875" style="5" customWidth="1"/>
    <col min="10" max="10" width="10.88671875" style="5" bestFit="1" customWidth="1"/>
    <col min="11" max="12" width="9.5546875" style="5" customWidth="1"/>
    <col min="13" max="13" width="2.5546875" style="5" customWidth="1"/>
    <col min="14" max="18" width="9.5546875" style="5" customWidth="1"/>
    <col min="19" max="19" width="10.5546875" style="5" customWidth="1"/>
    <col min="20" max="20" width="9.5546875" style="5" customWidth="1"/>
    <col min="21" max="16384" width="9.109375" style="5"/>
  </cols>
  <sheetData>
    <row r="1" spans="1:20" ht="14.1" customHeight="1" thickBot="1" x14ac:dyDescent="0.25">
      <c r="A1" s="9" t="s">
        <v>0</v>
      </c>
      <c r="B1" s="9"/>
      <c r="C1" s="9"/>
      <c r="D1" s="9"/>
      <c r="E1" s="9"/>
      <c r="F1" s="9"/>
      <c r="G1" s="9"/>
      <c r="H1" s="9" t="s">
        <v>1</v>
      </c>
      <c r="I1" s="9"/>
      <c r="J1" s="9"/>
      <c r="K1" s="9"/>
      <c r="L1" s="9"/>
      <c r="M1" s="9"/>
      <c r="N1" s="9"/>
      <c r="O1" s="9"/>
      <c r="P1" s="9"/>
      <c r="Q1" s="9"/>
      <c r="R1" s="9"/>
      <c r="S1" s="9" t="s">
        <v>2</v>
      </c>
    </row>
    <row r="2" spans="1:20" ht="14.1" customHeight="1" x14ac:dyDescent="0.2">
      <c r="A2" s="5" t="s">
        <v>3</v>
      </c>
      <c r="E2" s="5" t="s">
        <v>4</v>
      </c>
      <c r="G2" s="5" t="s">
        <v>5</v>
      </c>
      <c r="K2" s="10"/>
      <c r="L2" s="10"/>
      <c r="N2" s="10"/>
      <c r="O2" s="10"/>
      <c r="P2" s="10" t="s">
        <v>6</v>
      </c>
      <c r="S2" s="11"/>
      <c r="T2" s="11"/>
    </row>
    <row r="3" spans="1:20" ht="14.1" customHeight="1" x14ac:dyDescent="0.2">
      <c r="K3" s="12"/>
      <c r="L3" s="11"/>
      <c r="O3" s="12"/>
      <c r="P3" s="12" t="s">
        <v>7</v>
      </c>
      <c r="Q3" s="11" t="s">
        <v>8</v>
      </c>
      <c r="S3" s="12"/>
      <c r="T3" s="11"/>
    </row>
    <row r="4" spans="1:20" ht="14.1" customHeight="1" x14ac:dyDescent="0.2">
      <c r="A4" s="5" t="s">
        <v>9</v>
      </c>
      <c r="K4" s="12"/>
      <c r="L4" s="11"/>
      <c r="M4" s="12"/>
      <c r="P4" s="12" t="s">
        <v>7</v>
      </c>
      <c r="Q4" s="11" t="s">
        <v>10</v>
      </c>
      <c r="S4" s="12"/>
      <c r="T4" s="11"/>
    </row>
    <row r="5" spans="1:20" ht="14.1" customHeight="1" x14ac:dyDescent="0.2">
      <c r="K5" s="12"/>
      <c r="L5" s="11"/>
      <c r="M5" s="12"/>
      <c r="P5" s="12"/>
      <c r="Q5" s="11" t="s">
        <v>11</v>
      </c>
      <c r="S5" s="12"/>
      <c r="T5" s="11"/>
    </row>
    <row r="6" spans="1:20" ht="14.1" customHeight="1" x14ac:dyDescent="0.2">
      <c r="K6" s="12"/>
      <c r="L6" s="11"/>
      <c r="M6" s="12"/>
      <c r="P6" s="12"/>
      <c r="Q6" s="11" t="s">
        <v>4670</v>
      </c>
      <c r="S6" s="12"/>
      <c r="T6" s="11"/>
    </row>
    <row r="7" spans="1:20" ht="14.1" customHeight="1" thickBot="1" x14ac:dyDescent="0.25">
      <c r="A7" s="9" t="s">
        <v>4669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 t="s">
        <v>4671</v>
      </c>
      <c r="R7" s="9"/>
      <c r="S7" s="9"/>
    </row>
    <row r="8" spans="1:20" ht="14.1" customHeight="1" x14ac:dyDescent="0.2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0" ht="14.1" customHeight="1" x14ac:dyDescent="0.2">
      <c r="C9" s="13"/>
      <c r="D9" s="13"/>
      <c r="E9" s="13"/>
      <c r="F9" s="13"/>
      <c r="G9" s="13"/>
      <c r="H9" s="13"/>
      <c r="I9" s="1" t="s">
        <v>12</v>
      </c>
      <c r="J9" s="13"/>
      <c r="M9" s="13"/>
      <c r="N9" s="13"/>
      <c r="O9" s="13"/>
      <c r="P9" s="13"/>
      <c r="Q9" s="13"/>
      <c r="R9" s="13"/>
      <c r="S9" s="13"/>
    </row>
    <row r="10" spans="1:20" ht="14.1" customHeight="1" x14ac:dyDescent="0.2">
      <c r="G10" s="13"/>
      <c r="H10" s="1"/>
      <c r="I10" s="13"/>
      <c r="J10" s="1"/>
      <c r="K10" s="13"/>
      <c r="L10" s="1"/>
      <c r="M10" s="1"/>
      <c r="N10" s="1"/>
      <c r="S10" s="1"/>
    </row>
    <row r="11" spans="1:20" ht="14.1" customHeight="1" x14ac:dyDescent="0.2">
      <c r="A11" s="5" t="s">
        <v>13</v>
      </c>
      <c r="B11" s="1"/>
      <c r="C11" s="1"/>
      <c r="D11" s="1"/>
      <c r="E11" s="1"/>
      <c r="F11" s="13"/>
      <c r="G11" s="1"/>
      <c r="H11" s="1"/>
      <c r="I11" s="1"/>
      <c r="J11" s="1"/>
      <c r="K11" s="1"/>
      <c r="L11" s="13"/>
      <c r="M11" s="1"/>
      <c r="N11" s="11"/>
      <c r="O11" s="11"/>
      <c r="P11" s="13"/>
      <c r="Q11" s="13"/>
      <c r="R11" s="13"/>
      <c r="S11" s="1"/>
    </row>
    <row r="12" spans="1:20" ht="14.1" customHeight="1" thickBot="1" x14ac:dyDescent="0.25">
      <c r="A12" s="9" t="s">
        <v>14</v>
      </c>
      <c r="B12" s="14"/>
      <c r="C12" s="14"/>
      <c r="D12" s="14"/>
      <c r="E12" s="14"/>
      <c r="F12" s="14"/>
      <c r="G12" s="15"/>
      <c r="H12" s="15"/>
      <c r="I12" s="16"/>
      <c r="J12" s="16"/>
      <c r="K12" s="15"/>
      <c r="L12" s="16"/>
      <c r="M12" s="16"/>
      <c r="N12" s="17"/>
      <c r="O12" s="17"/>
      <c r="P12" s="17"/>
      <c r="Q12" s="17"/>
      <c r="R12" s="17"/>
      <c r="S12" s="17"/>
    </row>
    <row r="13" spans="1:20" ht="14.1" customHeight="1" x14ac:dyDescent="0.2">
      <c r="A13" s="5">
        <v>1</v>
      </c>
      <c r="B13" s="19"/>
      <c r="C13" s="3"/>
      <c r="D13" s="3"/>
      <c r="E13" s="3"/>
      <c r="F13" s="2"/>
      <c r="G13" s="2"/>
      <c r="H13" s="18" t="s">
        <v>15</v>
      </c>
      <c r="I13" s="7"/>
      <c r="J13" s="18"/>
      <c r="K13" s="18"/>
      <c r="L13" s="3"/>
      <c r="M13" s="3"/>
      <c r="N13" s="3"/>
      <c r="O13" s="3"/>
      <c r="P13" s="3"/>
      <c r="Q13" s="3"/>
      <c r="R13" s="3"/>
      <c r="S13" s="3"/>
    </row>
    <row r="14" spans="1:20" ht="14.1" customHeight="1" x14ac:dyDescent="0.2">
      <c r="A14" s="5">
        <v>2</v>
      </c>
      <c r="B14" s="19"/>
      <c r="C14" s="3"/>
      <c r="F14" s="2"/>
      <c r="G14" s="2"/>
      <c r="H14" s="2"/>
      <c r="I14" s="2"/>
      <c r="J14" s="3"/>
      <c r="K14" s="3"/>
      <c r="L14" s="3"/>
      <c r="M14" s="2"/>
      <c r="N14" s="2"/>
      <c r="O14" s="2"/>
      <c r="P14" s="2"/>
      <c r="Q14" s="2"/>
      <c r="R14" s="2"/>
      <c r="S14" s="2"/>
    </row>
    <row r="15" spans="1:20" ht="14.1" customHeight="1" x14ac:dyDescent="0.2">
      <c r="A15" s="5">
        <v>3</v>
      </c>
      <c r="B15" s="20"/>
      <c r="C15" s="3"/>
      <c r="D15" s="5" t="s">
        <v>16</v>
      </c>
      <c r="F15" s="4"/>
      <c r="G15" s="4"/>
      <c r="H15" s="3">
        <f>+'Leases-lessee--3'!G17/1000</f>
        <v>3252.1935649735892</v>
      </c>
      <c r="I15" s="2"/>
      <c r="J15" s="2"/>
      <c r="L15" s="6"/>
      <c r="M15" s="4"/>
      <c r="N15" s="4"/>
      <c r="O15" s="4"/>
      <c r="P15" s="4"/>
      <c r="Q15" s="4"/>
      <c r="R15" s="4"/>
      <c r="S15" s="4"/>
    </row>
    <row r="16" spans="1:20" ht="14.1" customHeight="1" x14ac:dyDescent="0.2">
      <c r="A16" s="5">
        <v>4</v>
      </c>
      <c r="B16" s="20"/>
      <c r="C16" s="3"/>
      <c r="D16" s="5" t="s">
        <v>17</v>
      </c>
      <c r="F16" s="4"/>
      <c r="G16" s="4"/>
      <c r="H16" s="3">
        <f>+'Leases-lessee--3'!H17/1000</f>
        <v>2780.079450033114</v>
      </c>
      <c r="I16" s="2"/>
      <c r="J16" s="2"/>
      <c r="L16" s="4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5">
        <v>5</v>
      </c>
      <c r="B17" s="20"/>
      <c r="C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5">
        <v>6</v>
      </c>
      <c r="B18" s="20"/>
      <c r="C18" s="3"/>
      <c r="D18" s="5" t="s">
        <v>18</v>
      </c>
      <c r="F18" s="4"/>
      <c r="G18" s="4"/>
      <c r="H18" s="3">
        <f>+SUM('Leases-lessee--3'!I17:L17)/1000</f>
        <v>78928.907092097972</v>
      </c>
      <c r="I18" s="7"/>
      <c r="J18" s="7"/>
      <c r="K18" s="3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5">
        <v>7</v>
      </c>
      <c r="B19" s="121"/>
      <c r="C19" s="122"/>
      <c r="D19" s="123" t="s">
        <v>19</v>
      </c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</row>
    <row r="20" spans="1:19" ht="14.1" customHeight="1" x14ac:dyDescent="0.2">
      <c r="A20" s="5">
        <v>8</v>
      </c>
      <c r="B20" s="20"/>
      <c r="C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4.1" customHeight="1" x14ac:dyDescent="0.2">
      <c r="A21" s="5">
        <v>9</v>
      </c>
      <c r="B21" s="20"/>
      <c r="C21" s="3"/>
      <c r="F21" s="4"/>
      <c r="G21" s="4"/>
      <c r="H21" s="4"/>
      <c r="I21" s="4" t="s">
        <v>20</v>
      </c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5">
        <v>10</v>
      </c>
      <c r="B22" s="121"/>
      <c r="C22" s="122"/>
      <c r="D22" s="123"/>
      <c r="E22" s="123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</row>
    <row r="23" spans="1:19" ht="14.1" customHeight="1" x14ac:dyDescent="0.2">
      <c r="A23" s="5">
        <v>11</v>
      </c>
      <c r="B23" s="20"/>
      <c r="C23" s="18"/>
      <c r="D23" s="1"/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4"/>
      <c r="R23" s="4"/>
      <c r="S23" s="4"/>
    </row>
    <row r="24" spans="1:19" ht="14.1" customHeight="1" x14ac:dyDescent="0.2">
      <c r="A24" s="5">
        <v>12</v>
      </c>
      <c r="B24" s="20"/>
      <c r="C24" s="18"/>
      <c r="D24" s="1"/>
      <c r="E24" s="1"/>
      <c r="F24" s="8" t="s">
        <v>21</v>
      </c>
      <c r="G24" s="8"/>
      <c r="H24" s="8"/>
      <c r="I24" s="8" t="s">
        <v>22</v>
      </c>
      <c r="J24" s="8"/>
      <c r="K24" s="8"/>
      <c r="L24" s="8" t="s">
        <v>23</v>
      </c>
      <c r="M24" s="8"/>
      <c r="N24" s="8"/>
      <c r="O24" s="8" t="s">
        <v>24</v>
      </c>
      <c r="P24" s="8"/>
      <c r="Q24" s="4"/>
      <c r="R24" s="4"/>
      <c r="S24" s="4"/>
    </row>
    <row r="25" spans="1:19" ht="14.1" customHeight="1" x14ac:dyDescent="0.2">
      <c r="A25" s="5">
        <v>13</v>
      </c>
      <c r="B25" s="20"/>
      <c r="C25" s="18" t="s">
        <v>25</v>
      </c>
      <c r="D25" s="1"/>
      <c r="E25" s="1"/>
      <c r="F25" s="8" t="s">
        <v>26</v>
      </c>
      <c r="G25" s="8"/>
      <c r="H25" s="8"/>
      <c r="I25" s="8" t="s">
        <v>27</v>
      </c>
      <c r="J25" s="8"/>
      <c r="K25" s="8"/>
      <c r="L25" s="8" t="s">
        <v>28</v>
      </c>
      <c r="M25" s="8"/>
      <c r="N25" s="8"/>
      <c r="O25" s="8" t="s">
        <v>29</v>
      </c>
      <c r="P25" s="8"/>
      <c r="Q25" s="4"/>
      <c r="R25" s="4"/>
      <c r="S25" s="4"/>
    </row>
    <row r="26" spans="1:19" ht="14.1" customHeight="1" x14ac:dyDescent="0.2">
      <c r="A26" s="5">
        <v>14</v>
      </c>
      <c r="B26" s="121"/>
      <c r="C26" s="125"/>
      <c r="D26" s="126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4"/>
      <c r="R26" s="124"/>
      <c r="S26" s="124"/>
    </row>
    <row r="27" spans="1:19" ht="14.1" customHeight="1" x14ac:dyDescent="0.2">
      <c r="A27" s="5">
        <v>15</v>
      </c>
      <c r="B27" s="20"/>
      <c r="C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4.1" customHeight="1" x14ac:dyDescent="0.2">
      <c r="A28" s="5">
        <v>16</v>
      </c>
      <c r="B28" s="20"/>
      <c r="C28" s="3" t="s">
        <v>30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5">
        <v>17</v>
      </c>
      <c r="B29" s="20"/>
      <c r="C29" s="3"/>
      <c r="F29" s="4"/>
      <c r="G29" s="4"/>
      <c r="H29" s="4"/>
      <c r="I29" s="2"/>
      <c r="J29" s="6"/>
      <c r="K29" s="4"/>
      <c r="L29" s="6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5">
        <v>18</v>
      </c>
      <c r="B30" s="20"/>
      <c r="C30" s="3"/>
      <c r="F30" s="305"/>
      <c r="G30" s="4"/>
      <c r="H30" s="4"/>
      <c r="I30" s="2"/>
      <c r="J30" s="6"/>
      <c r="K30" s="4"/>
      <c r="L30" s="6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A31" s="5">
        <v>19</v>
      </c>
      <c r="B31" s="20"/>
      <c r="C31" s="3" t="s">
        <v>31</v>
      </c>
      <c r="F31" s="305" t="s">
        <v>32</v>
      </c>
      <c r="G31" s="4"/>
      <c r="H31" s="4"/>
      <c r="I31" s="2">
        <f>SUM('IS 2024B'!O412:Z412)/1000+SUM('IS 2024B'!O417:Z417)/1000</f>
        <v>384.56043999999997</v>
      </c>
      <c r="J31" s="6"/>
      <c r="K31" s="4"/>
      <c r="L31" s="6" t="s">
        <v>33</v>
      </c>
      <c r="M31" s="4"/>
      <c r="N31" s="4" t="s">
        <v>34</v>
      </c>
      <c r="O31" s="4"/>
      <c r="P31" s="4"/>
      <c r="Q31" s="4"/>
      <c r="R31" s="4"/>
      <c r="S31" s="4"/>
    </row>
    <row r="32" spans="1:19" ht="14.1" customHeight="1" x14ac:dyDescent="0.2">
      <c r="A32" s="5">
        <v>20</v>
      </c>
      <c r="B32" s="20"/>
      <c r="C32" s="5" t="s">
        <v>35</v>
      </c>
      <c r="F32" s="11" t="s">
        <v>36</v>
      </c>
      <c r="I32" s="541">
        <f>SUM('2025 TB'!C2598:M2598)/1000</f>
        <v>365.61200000000002</v>
      </c>
      <c r="L32" s="5" t="s">
        <v>37</v>
      </c>
      <c r="N32" s="5" t="s">
        <v>34</v>
      </c>
      <c r="R32" s="4"/>
      <c r="S32" s="4"/>
    </row>
    <row r="33" spans="1:19" ht="14.1" customHeight="1" x14ac:dyDescent="0.2">
      <c r="A33" s="5">
        <v>21</v>
      </c>
      <c r="B33" s="20"/>
      <c r="R33" s="4"/>
      <c r="S33" s="4"/>
    </row>
    <row r="34" spans="1:19" ht="14.1" customHeight="1" x14ac:dyDescent="0.2">
      <c r="A34" s="5">
        <v>22</v>
      </c>
      <c r="B34" s="20"/>
      <c r="R34" s="4"/>
      <c r="S34" s="4"/>
    </row>
    <row r="35" spans="1:19" ht="14.1" customHeight="1" x14ac:dyDescent="0.2">
      <c r="A35" s="5">
        <v>23</v>
      </c>
      <c r="B35" s="20"/>
      <c r="C35" s="3" t="s">
        <v>38</v>
      </c>
      <c r="F35" s="2">
        <f>37370675/1000</f>
        <v>37370.675000000003</v>
      </c>
      <c r="G35" s="4"/>
      <c r="H35" s="4"/>
      <c r="I35" s="2">
        <f>+'Leases-lessee (2)'!H12/1000</f>
        <v>2007.423</v>
      </c>
      <c r="J35" s="4" t="s">
        <v>39</v>
      </c>
      <c r="K35" s="4"/>
      <c r="L35" s="4" t="s">
        <v>40</v>
      </c>
      <c r="M35" s="4"/>
      <c r="N35" s="5" t="s">
        <v>4662</v>
      </c>
      <c r="O35" s="4"/>
      <c r="P35" s="4"/>
      <c r="Q35" s="4"/>
      <c r="R35" s="4"/>
      <c r="S35" s="4"/>
    </row>
    <row r="36" spans="1:19" ht="14.1" customHeight="1" x14ac:dyDescent="0.2">
      <c r="A36" s="5">
        <v>24</v>
      </c>
      <c r="B36" s="20"/>
      <c r="C36" s="3" t="s">
        <v>42</v>
      </c>
      <c r="F36" s="4"/>
      <c r="G36" s="4"/>
      <c r="H36" s="4"/>
      <c r="I36" s="4"/>
      <c r="J36" s="4"/>
      <c r="K36" s="4"/>
      <c r="L36" s="4"/>
      <c r="M36" s="4"/>
      <c r="N36" s="5" t="s">
        <v>4663</v>
      </c>
      <c r="O36" s="4"/>
      <c r="P36" s="4"/>
      <c r="Q36" s="4"/>
      <c r="R36" s="4"/>
      <c r="S36" s="4"/>
    </row>
    <row r="37" spans="1:19" ht="14.1" customHeight="1" x14ac:dyDescent="0.2">
      <c r="A37" s="5">
        <v>25</v>
      </c>
      <c r="B37" s="20"/>
      <c r="C37" s="3"/>
      <c r="F37" s="4"/>
      <c r="G37" s="4"/>
      <c r="H37" s="4"/>
      <c r="I37" s="4"/>
      <c r="J37" s="4"/>
      <c r="K37" s="4"/>
      <c r="L37" s="4"/>
      <c r="M37" s="4"/>
      <c r="N37" s="5" t="s">
        <v>4664</v>
      </c>
      <c r="O37" s="4"/>
      <c r="P37" s="4"/>
      <c r="Q37" s="4"/>
      <c r="R37" s="4"/>
      <c r="S37" s="4"/>
    </row>
    <row r="38" spans="1:19" ht="14.1" customHeight="1" x14ac:dyDescent="0.2">
      <c r="A38" s="5">
        <v>26</v>
      </c>
      <c r="B38" s="20"/>
      <c r="C38" s="3" t="s">
        <v>44</v>
      </c>
      <c r="F38" s="4"/>
      <c r="G38" s="4"/>
      <c r="H38" s="4"/>
      <c r="I38" s="4"/>
      <c r="J38" s="4"/>
      <c r="K38" s="4"/>
      <c r="L38" s="4"/>
      <c r="M38" s="4"/>
      <c r="N38" s="5" t="s">
        <v>4665</v>
      </c>
      <c r="O38" s="4"/>
      <c r="P38" s="4"/>
      <c r="Q38" s="4"/>
      <c r="R38" s="4"/>
      <c r="S38" s="4"/>
    </row>
    <row r="39" spans="1:19" ht="14.1" customHeight="1" x14ac:dyDescent="0.2">
      <c r="A39" s="5">
        <v>27</v>
      </c>
      <c r="B39" s="20"/>
      <c r="C39" s="3" t="s">
        <v>46</v>
      </c>
      <c r="F39" s="4"/>
      <c r="G39" s="8"/>
      <c r="H39" s="4"/>
      <c r="I39" s="4"/>
      <c r="J39" s="6"/>
      <c r="K39" s="4"/>
      <c r="L39" s="6"/>
      <c r="M39" s="4"/>
      <c r="N39" s="5" t="s">
        <v>4666</v>
      </c>
      <c r="O39" s="4"/>
      <c r="P39" s="4"/>
      <c r="Q39" s="4"/>
      <c r="R39" s="4"/>
      <c r="S39" s="4"/>
    </row>
    <row r="40" spans="1:19" ht="14.1" customHeight="1" x14ac:dyDescent="0.2">
      <c r="A40" s="5">
        <v>28</v>
      </c>
      <c r="B40" s="20"/>
      <c r="C40" s="3"/>
      <c r="F40" s="4"/>
      <c r="G40" s="4"/>
      <c r="H40" s="4"/>
      <c r="I40" s="4"/>
      <c r="J40" s="6"/>
      <c r="K40" s="4"/>
      <c r="L40" s="6"/>
      <c r="M40" s="4"/>
      <c r="N40" s="5" t="s">
        <v>4667</v>
      </c>
      <c r="O40" s="4"/>
      <c r="P40" s="4"/>
      <c r="Q40" s="4"/>
      <c r="R40" s="4"/>
      <c r="S40" s="4"/>
    </row>
    <row r="41" spans="1:19" ht="14.1" customHeight="1" x14ac:dyDescent="0.2">
      <c r="A41" s="5">
        <v>32</v>
      </c>
      <c r="B41" s="21"/>
      <c r="C41" s="3"/>
      <c r="F41" s="4"/>
      <c r="G41" s="4"/>
      <c r="H41" s="4"/>
      <c r="I41" s="4"/>
      <c r="J41" s="6"/>
      <c r="K41" s="4"/>
      <c r="L41" s="6"/>
      <c r="M41" s="4"/>
      <c r="N41" s="5" t="s">
        <v>4668</v>
      </c>
      <c r="O41" s="4"/>
      <c r="P41" s="4"/>
      <c r="Q41" s="4"/>
      <c r="R41" s="4"/>
      <c r="S41" s="4"/>
    </row>
    <row r="42" spans="1:19" ht="14.1" customHeight="1" x14ac:dyDescent="0.2">
      <c r="A42" s="5">
        <v>33</v>
      </c>
      <c r="B42" s="20"/>
      <c r="S42" s="4"/>
    </row>
    <row r="43" spans="1:19" ht="14.1" customHeight="1" x14ac:dyDescent="0.2">
      <c r="A43" s="5">
        <v>34</v>
      </c>
      <c r="B43" s="20"/>
      <c r="C43" s="3" t="s">
        <v>48</v>
      </c>
      <c r="F43" s="4">
        <v>30928</v>
      </c>
      <c r="G43" s="4"/>
      <c r="H43" s="4"/>
      <c r="I43" s="4">
        <f>+'Leases-lessee--3'!H13/1000</f>
        <v>181.68769499999996</v>
      </c>
      <c r="J43" s="6" t="s">
        <v>39</v>
      </c>
      <c r="K43" s="4"/>
      <c r="L43" s="6" t="s">
        <v>49</v>
      </c>
      <c r="M43" s="4"/>
      <c r="N43" s="4" t="s">
        <v>50</v>
      </c>
      <c r="O43" s="4"/>
      <c r="P43" s="4"/>
      <c r="Q43" s="4"/>
      <c r="R43" s="4"/>
      <c r="S43" s="4"/>
    </row>
    <row r="44" spans="1:19" ht="14.1" customHeight="1" x14ac:dyDescent="0.2">
      <c r="A44" s="5">
        <v>35</v>
      </c>
      <c r="B44" s="20"/>
      <c r="C44" s="3" t="s">
        <v>51</v>
      </c>
      <c r="F44" s="4"/>
      <c r="G44" s="4"/>
      <c r="H44" s="4"/>
      <c r="I44" s="4"/>
      <c r="J44" s="6"/>
      <c r="K44" s="4"/>
      <c r="L44" s="6"/>
      <c r="M44" s="4"/>
      <c r="N44" s="5" t="s">
        <v>52</v>
      </c>
      <c r="O44" s="4"/>
      <c r="P44" s="4"/>
      <c r="Q44" s="4"/>
      <c r="R44" s="4"/>
      <c r="S44" s="4"/>
    </row>
    <row r="45" spans="1:19" ht="14.1" customHeight="1" x14ac:dyDescent="0.2">
      <c r="A45" s="5">
        <v>36</v>
      </c>
      <c r="B45" s="20"/>
      <c r="C45" s="3" t="s">
        <v>44</v>
      </c>
      <c r="F45" s="4"/>
      <c r="G45" s="4"/>
      <c r="H45" s="4"/>
      <c r="I45" s="4"/>
      <c r="J45" s="6"/>
      <c r="K45" s="4"/>
      <c r="L45" s="6"/>
      <c r="M45" s="4"/>
      <c r="N45" s="5" t="s">
        <v>43</v>
      </c>
      <c r="O45" s="4"/>
      <c r="P45" s="4"/>
      <c r="Q45" s="4"/>
      <c r="R45" s="4"/>
      <c r="S45" s="4"/>
    </row>
    <row r="46" spans="1:19" ht="14.1" customHeight="1" x14ac:dyDescent="0.2">
      <c r="A46" s="5">
        <v>37</v>
      </c>
      <c r="B46" s="20"/>
      <c r="C46" s="3" t="s">
        <v>53</v>
      </c>
      <c r="F46" s="4"/>
      <c r="G46" s="4"/>
      <c r="H46" s="4"/>
      <c r="I46" s="4"/>
      <c r="J46" s="6"/>
      <c r="K46" s="4"/>
      <c r="L46" s="6"/>
      <c r="M46" s="4"/>
      <c r="N46" s="5" t="s">
        <v>45</v>
      </c>
      <c r="O46" s="4"/>
      <c r="P46" s="4"/>
      <c r="Q46" s="4"/>
      <c r="R46" s="4"/>
      <c r="S46" s="4"/>
    </row>
    <row r="47" spans="1:19" ht="14.1" customHeight="1" x14ac:dyDescent="0.2">
      <c r="A47" s="5">
        <v>38</v>
      </c>
      <c r="B47" s="20"/>
      <c r="C47" s="3"/>
      <c r="F47" s="4"/>
      <c r="G47" s="4"/>
      <c r="H47" s="4"/>
      <c r="I47" s="4"/>
      <c r="J47" s="6"/>
      <c r="K47" s="4"/>
      <c r="L47" s="6"/>
      <c r="M47" s="4"/>
      <c r="O47" s="4"/>
      <c r="P47" s="4"/>
      <c r="Q47" s="4"/>
      <c r="R47" s="4"/>
      <c r="S47" s="4"/>
    </row>
    <row r="48" spans="1:19" ht="14.1" customHeight="1" x14ac:dyDescent="0.2">
      <c r="A48" s="5">
        <v>39</v>
      </c>
      <c r="B48" s="20"/>
      <c r="C48" s="3" t="s">
        <v>48</v>
      </c>
      <c r="F48" s="4">
        <v>21559</v>
      </c>
      <c r="G48" s="4"/>
      <c r="H48" s="4"/>
      <c r="I48" s="4">
        <f>+'Leases-lessee--3'!H14/1000</f>
        <v>591.43984903311343</v>
      </c>
      <c r="J48" s="6" t="s">
        <v>39</v>
      </c>
      <c r="K48" s="4"/>
      <c r="L48" s="6" t="s">
        <v>54</v>
      </c>
      <c r="M48" s="4"/>
      <c r="N48" s="4" t="s">
        <v>50</v>
      </c>
      <c r="O48" s="4"/>
      <c r="P48" s="4"/>
      <c r="Q48" s="4"/>
      <c r="R48" s="4"/>
      <c r="S48" s="4"/>
    </row>
    <row r="49" spans="1:19" ht="14.1" customHeight="1" x14ac:dyDescent="0.2">
      <c r="A49" s="5">
        <v>40</v>
      </c>
      <c r="B49" s="20"/>
      <c r="C49" s="3" t="s">
        <v>55</v>
      </c>
      <c r="F49" s="4"/>
      <c r="G49" s="4"/>
      <c r="H49" s="4"/>
      <c r="I49" s="4"/>
      <c r="J49" s="6"/>
      <c r="K49" s="4"/>
      <c r="L49" s="6"/>
      <c r="M49" s="4"/>
      <c r="N49" s="5" t="s">
        <v>56</v>
      </c>
      <c r="O49" s="4"/>
      <c r="P49" s="4"/>
      <c r="Q49" s="4"/>
      <c r="R49" s="4"/>
      <c r="S49" s="4"/>
    </row>
    <row r="50" spans="1:19" ht="14.1" customHeight="1" x14ac:dyDescent="0.2">
      <c r="A50" s="5">
        <v>41</v>
      </c>
      <c r="B50" s="20"/>
      <c r="C50" s="3" t="s">
        <v>44</v>
      </c>
      <c r="F50" s="4"/>
      <c r="G50" s="4"/>
      <c r="H50" s="4"/>
      <c r="I50" s="4"/>
      <c r="J50" s="6"/>
      <c r="K50" s="4"/>
      <c r="L50" s="6"/>
      <c r="M50" s="4"/>
      <c r="N50" s="5" t="s">
        <v>43</v>
      </c>
      <c r="O50" s="4"/>
      <c r="P50" s="4"/>
      <c r="Q50" s="4"/>
      <c r="R50" s="4"/>
      <c r="S50" s="4"/>
    </row>
    <row r="51" spans="1:19" ht="14.1" customHeight="1" x14ac:dyDescent="0.2">
      <c r="A51" s="5">
        <v>42</v>
      </c>
      <c r="B51" s="20"/>
      <c r="C51" s="3" t="s">
        <v>57</v>
      </c>
      <c r="F51" s="4"/>
      <c r="G51" s="4"/>
      <c r="H51" s="4"/>
      <c r="I51" s="4"/>
      <c r="J51" s="6"/>
      <c r="K51" s="4"/>
      <c r="L51" s="6"/>
      <c r="M51" s="4"/>
      <c r="N51" s="5" t="s">
        <v>45</v>
      </c>
      <c r="O51" s="4"/>
      <c r="P51" s="4"/>
      <c r="Q51" s="4"/>
      <c r="R51" s="4"/>
      <c r="S51" s="4"/>
    </row>
    <row r="52" spans="1:19" ht="14.1" customHeight="1" x14ac:dyDescent="0.2">
      <c r="A52" s="5">
        <v>43</v>
      </c>
      <c r="B52" s="20"/>
      <c r="C52" s="3"/>
      <c r="F52" s="4"/>
      <c r="G52" s="4"/>
      <c r="H52" s="4"/>
      <c r="I52" s="4"/>
      <c r="J52" s="6"/>
      <c r="K52" s="4"/>
      <c r="L52" s="6"/>
      <c r="M52" s="4"/>
      <c r="O52" s="4"/>
      <c r="P52" s="4"/>
      <c r="Q52" s="4"/>
      <c r="R52" s="4"/>
      <c r="S52" s="4"/>
    </row>
    <row r="53" spans="1:19" ht="14.1" customHeight="1" x14ac:dyDescent="0.2">
      <c r="A53" s="5">
        <v>44</v>
      </c>
      <c r="B53" s="20"/>
      <c r="C53" s="3" t="s">
        <v>48</v>
      </c>
      <c r="F53" s="4">
        <v>32456</v>
      </c>
      <c r="G53" s="4"/>
      <c r="H53" s="4"/>
      <c r="I53" s="4">
        <f>+'Leases-lessee--3'!G15/1000</f>
        <v>442.13890000000004</v>
      </c>
      <c r="J53" s="6" t="s">
        <v>39</v>
      </c>
      <c r="K53" s="4"/>
      <c r="L53" s="6" t="s">
        <v>58</v>
      </c>
      <c r="M53" s="4"/>
      <c r="N53" s="4" t="s">
        <v>50</v>
      </c>
      <c r="O53" s="4"/>
      <c r="P53" s="4"/>
      <c r="Q53" s="4"/>
      <c r="R53" s="4"/>
      <c r="S53" s="4"/>
    </row>
    <row r="54" spans="1:19" ht="14.1" customHeight="1" x14ac:dyDescent="0.2">
      <c r="A54" s="5">
        <v>45</v>
      </c>
      <c r="B54" s="20"/>
      <c r="C54" s="3" t="s">
        <v>59</v>
      </c>
      <c r="F54" s="4"/>
      <c r="G54" s="4"/>
      <c r="H54" s="4"/>
      <c r="I54" s="4"/>
      <c r="J54" s="6"/>
      <c r="K54" s="4"/>
      <c r="L54" s="6"/>
      <c r="M54" s="4"/>
      <c r="N54" s="5" t="s">
        <v>60</v>
      </c>
      <c r="O54" s="4"/>
      <c r="P54" s="4"/>
      <c r="Q54" s="4"/>
      <c r="R54" s="4"/>
      <c r="S54" s="4"/>
    </row>
    <row r="55" spans="1:19" ht="14.1" customHeight="1" x14ac:dyDescent="0.2">
      <c r="A55" s="5">
        <v>46</v>
      </c>
      <c r="B55" s="20"/>
      <c r="C55" s="3" t="s">
        <v>44</v>
      </c>
      <c r="F55" s="4"/>
      <c r="G55" s="4"/>
      <c r="H55" s="4"/>
      <c r="I55" s="4"/>
      <c r="J55" s="6"/>
      <c r="K55" s="4"/>
      <c r="L55" s="6"/>
      <c r="M55" s="4"/>
      <c r="N55" s="5" t="s">
        <v>43</v>
      </c>
      <c r="O55" s="4"/>
      <c r="P55" s="4"/>
      <c r="Q55" s="4"/>
      <c r="R55" s="4"/>
      <c r="S55" s="4"/>
    </row>
    <row r="56" spans="1:19" ht="14.1" customHeight="1" x14ac:dyDescent="0.2">
      <c r="A56" s="5">
        <v>47</v>
      </c>
      <c r="B56" s="20"/>
      <c r="C56" s="3" t="s">
        <v>61</v>
      </c>
      <c r="F56" s="4"/>
      <c r="G56" s="4"/>
      <c r="H56" s="4"/>
      <c r="I56" s="4"/>
      <c r="J56" s="6"/>
      <c r="K56" s="4"/>
      <c r="L56" s="6"/>
      <c r="M56" s="4"/>
      <c r="N56" s="5" t="s">
        <v>45</v>
      </c>
      <c r="O56" s="4"/>
      <c r="P56" s="4"/>
      <c r="Q56" s="4"/>
      <c r="R56" s="4"/>
      <c r="S56" s="4"/>
    </row>
    <row r="57" spans="1:19" ht="14.1" customHeight="1" x14ac:dyDescent="0.2">
      <c r="A57" s="5">
        <v>48</v>
      </c>
      <c r="B57" s="20"/>
      <c r="C57" s="3"/>
      <c r="F57" s="4"/>
      <c r="G57" s="4"/>
      <c r="H57" s="4"/>
      <c r="I57" s="4"/>
      <c r="J57" s="6"/>
      <c r="K57" s="4"/>
      <c r="L57" s="6"/>
      <c r="M57" s="4"/>
      <c r="N57" s="4"/>
      <c r="O57" s="4"/>
      <c r="P57" s="4"/>
      <c r="Q57" s="4"/>
      <c r="R57" s="4"/>
      <c r="S57" s="4"/>
    </row>
    <row r="58" spans="1:19" ht="14.1" customHeight="1" thickBot="1" x14ac:dyDescent="0.25">
      <c r="A58" s="9">
        <v>49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ht="14.1" customHeight="1" x14ac:dyDescent="0.2">
      <c r="A59" s="5" t="s">
        <v>62</v>
      </c>
      <c r="Q59" s="5" t="s">
        <v>63</v>
      </c>
    </row>
  </sheetData>
  <printOptions horizontalCentered="1" verticalCentered="1"/>
  <pageMargins left="0.5" right="0.5" top="0.5" bottom="0.5" header="0" footer="0"/>
  <pageSetup scale="70" orientation="landscape" blackAndWhite="1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C3938-B0A8-4F9E-B4BC-3BD306F66800}">
  <dimension ref="A1:AC754"/>
  <sheetViews>
    <sheetView topLeftCell="I394" workbookViewId="0">
      <selection activeCell="U412" sqref="U412"/>
    </sheetView>
  </sheetViews>
  <sheetFormatPr defaultColWidth="9.33203125" defaultRowHeight="15" customHeight="1" outlineLevelRow="1" outlineLevelCol="1" x14ac:dyDescent="0.2"/>
  <cols>
    <col min="1" max="1" width="15.6640625" style="324" hidden="1" customWidth="1" outlineLevel="1"/>
    <col min="2" max="2" width="20.6640625" style="324" hidden="1" customWidth="1" outlineLevel="1"/>
    <col min="3" max="4" width="15.6640625" style="324" hidden="1" customWidth="1" outlineLevel="1"/>
    <col min="5" max="5" width="18.5546875" style="324" hidden="1" customWidth="1" outlineLevel="1"/>
    <col min="6" max="6" width="12.6640625" style="324" hidden="1" customWidth="1" outlineLevel="1"/>
    <col min="7" max="7" width="19.5546875" style="324" hidden="1" customWidth="1" outlineLevel="1"/>
    <col min="8" max="8" width="23.88671875" style="324" hidden="1" customWidth="1" outlineLevel="1" collapsed="1"/>
    <col min="9" max="9" width="1.6640625" style="324" customWidth="1" collapsed="1"/>
    <col min="10" max="10" width="14.6640625" style="324" customWidth="1"/>
    <col min="11" max="11" width="46.6640625" style="324" customWidth="1"/>
    <col min="12" max="12" width="50.6640625" style="324" customWidth="1"/>
    <col min="13" max="13" width="20.33203125" style="324" hidden="1" customWidth="1"/>
    <col min="14" max="14" width="20.6640625" style="324" hidden="1" customWidth="1"/>
    <col min="15" max="27" width="20.6640625" style="324" customWidth="1"/>
    <col min="28" max="29" width="20.6640625" style="324" hidden="1" customWidth="1"/>
    <col min="30" max="37" width="20.6640625" style="324" customWidth="1"/>
    <col min="38" max="16384" width="9.33203125" style="324"/>
  </cols>
  <sheetData>
    <row r="1" spans="1:26" ht="15" hidden="1" customHeight="1" outlineLevel="1" x14ac:dyDescent="0.4">
      <c r="A1" s="319" t="s">
        <v>158</v>
      </c>
      <c r="B1" s="320" t="s">
        <v>257</v>
      </c>
      <c r="C1" s="321" t="b">
        <v>0</v>
      </c>
      <c r="D1" s="322" t="s">
        <v>159</v>
      </c>
      <c r="E1" s="323" t="s">
        <v>160</v>
      </c>
      <c r="G1" s="324" t="s">
        <v>258</v>
      </c>
      <c r="H1" s="324" t="s">
        <v>259</v>
      </c>
      <c r="I1" s="325" t="s">
        <v>162</v>
      </c>
      <c r="J1" s="326" t="s">
        <v>260</v>
      </c>
      <c r="K1" s="326"/>
      <c r="L1" s="326"/>
      <c r="M1" s="326"/>
      <c r="N1" s="327" t="s">
        <v>163</v>
      </c>
      <c r="O1" s="328" t="s">
        <v>261</v>
      </c>
      <c r="P1" s="328">
        <v>1</v>
      </c>
    </row>
    <row r="2" spans="1:26" ht="15" hidden="1" customHeight="1" outlineLevel="1" x14ac:dyDescent="0.4">
      <c r="A2" s="319" t="s">
        <v>164</v>
      </c>
      <c r="B2" s="329" t="s">
        <v>262</v>
      </c>
      <c r="D2" s="330" t="s">
        <v>165</v>
      </c>
      <c r="E2" s="323" t="s">
        <v>160</v>
      </c>
      <c r="G2" s="324" t="s">
        <v>263</v>
      </c>
      <c r="H2" s="324" t="s">
        <v>264</v>
      </c>
      <c r="I2" s="325" t="s">
        <v>167</v>
      </c>
      <c r="J2" s="326" t="s">
        <v>265</v>
      </c>
      <c r="K2" s="326"/>
      <c r="L2" s="326"/>
      <c r="M2" s="326"/>
      <c r="N2" s="327" t="s">
        <v>168</v>
      </c>
      <c r="O2" s="331" t="s">
        <v>266</v>
      </c>
      <c r="P2" s="331" t="b">
        <v>0</v>
      </c>
    </row>
    <row r="3" spans="1:26" ht="15" hidden="1" customHeight="1" outlineLevel="1" x14ac:dyDescent="0.2">
      <c r="A3" s="319" t="s">
        <v>169</v>
      </c>
      <c r="B3" s="332" t="s">
        <v>170</v>
      </c>
      <c r="D3" s="333" t="s">
        <v>171</v>
      </c>
      <c r="G3" s="324" t="s">
        <v>267</v>
      </c>
      <c r="H3" s="324" t="s">
        <v>268</v>
      </c>
      <c r="I3" s="325" t="s">
        <v>173</v>
      </c>
      <c r="J3" s="326" t="s">
        <v>269</v>
      </c>
      <c r="K3" s="334"/>
      <c r="L3" s="335"/>
      <c r="M3" s="335"/>
    </row>
    <row r="4" spans="1:26" ht="15" hidden="1" customHeight="1" outlineLevel="1" x14ac:dyDescent="0.25">
      <c r="D4" s="336" t="s">
        <v>174</v>
      </c>
      <c r="E4" s="337" t="s">
        <v>270</v>
      </c>
      <c r="F4" s="337"/>
      <c r="G4" s="324" t="s">
        <v>166</v>
      </c>
      <c r="H4" s="324" t="s">
        <v>271</v>
      </c>
      <c r="I4" s="337"/>
      <c r="J4" s="338"/>
      <c r="K4" s="339"/>
      <c r="L4" s="340"/>
      <c r="M4" s="340"/>
      <c r="N4" s="341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</row>
    <row r="5" spans="1:26" ht="15" hidden="1" customHeight="1" outlineLevel="1" x14ac:dyDescent="0.2">
      <c r="A5" s="319" t="s">
        <v>177</v>
      </c>
      <c r="B5" s="342" t="s">
        <v>178</v>
      </c>
      <c r="C5" s="343" t="s">
        <v>179</v>
      </c>
      <c r="D5" s="344"/>
      <c r="G5" s="324" t="s">
        <v>272</v>
      </c>
      <c r="H5" s="324" t="s">
        <v>271</v>
      </c>
    </row>
    <row r="6" spans="1:26" ht="15" hidden="1" customHeight="1" outlineLevel="1" x14ac:dyDescent="0.2">
      <c r="A6" s="319" t="s">
        <v>183</v>
      </c>
      <c r="B6" s="342" t="s">
        <v>184</v>
      </c>
      <c r="C6" s="343" t="s">
        <v>185</v>
      </c>
      <c r="D6" s="324" t="s">
        <v>273</v>
      </c>
      <c r="E6" s="345" t="s">
        <v>274</v>
      </c>
      <c r="F6" s="346" t="s">
        <v>275</v>
      </c>
      <c r="H6" s="326" t="s">
        <v>259</v>
      </c>
    </row>
    <row r="7" spans="1:26" ht="15" hidden="1" customHeight="1" outlineLevel="1" x14ac:dyDescent="0.3">
      <c r="A7" s="319" t="s">
        <v>186</v>
      </c>
      <c r="B7" s="347"/>
      <c r="C7" s="343" t="s">
        <v>187</v>
      </c>
      <c r="D7" s="324" t="s">
        <v>276</v>
      </c>
      <c r="E7" s="345" t="s">
        <v>277</v>
      </c>
      <c r="F7" s="346" t="s">
        <v>273</v>
      </c>
      <c r="G7" s="348" t="b">
        <v>0</v>
      </c>
      <c r="H7" s="337" t="s">
        <v>180</v>
      </c>
    </row>
    <row r="8" spans="1:26" ht="15" hidden="1" customHeight="1" outlineLevel="1" x14ac:dyDescent="0.4">
      <c r="A8" s="319" t="s">
        <v>188</v>
      </c>
      <c r="B8" s="342" t="s">
        <v>184</v>
      </c>
      <c r="C8" s="343" t="s">
        <v>185</v>
      </c>
      <c r="E8" s="345" t="s">
        <v>278</v>
      </c>
      <c r="F8" s="346" t="s">
        <v>279</v>
      </c>
      <c r="N8" s="349"/>
    </row>
    <row r="9" spans="1:26" ht="15" hidden="1" customHeight="1" outlineLevel="1" x14ac:dyDescent="0.2">
      <c r="A9" s="319" t="s">
        <v>190</v>
      </c>
      <c r="B9" s="350" t="s">
        <v>280</v>
      </c>
      <c r="C9" s="343" t="s">
        <v>212</v>
      </c>
      <c r="E9" s="345" t="s">
        <v>222</v>
      </c>
      <c r="F9" s="346" t="s">
        <v>281</v>
      </c>
      <c r="N9" s="351"/>
    </row>
    <row r="10" spans="1:26" ht="15" hidden="1" customHeight="1" outlineLevel="1" x14ac:dyDescent="0.2">
      <c r="A10" s="319" t="s">
        <v>193</v>
      </c>
      <c r="B10" s="350" t="s">
        <v>282</v>
      </c>
      <c r="C10" s="343" t="s">
        <v>187</v>
      </c>
      <c r="E10" s="345" t="s">
        <v>222</v>
      </c>
      <c r="F10" s="346" t="s">
        <v>283</v>
      </c>
      <c r="N10" s="351"/>
    </row>
    <row r="11" spans="1:26" ht="15" hidden="1" customHeight="1" outlineLevel="1" x14ac:dyDescent="0.2">
      <c r="A11" s="319" t="s">
        <v>194</v>
      </c>
      <c r="B11" s="350" t="s">
        <v>284</v>
      </c>
      <c r="C11" s="343" t="s">
        <v>187</v>
      </c>
      <c r="E11" s="345" t="s">
        <v>222</v>
      </c>
      <c r="F11" s="346" t="s">
        <v>285</v>
      </c>
      <c r="N11" s="351" t="s">
        <v>286</v>
      </c>
      <c r="O11" s="351" t="s">
        <v>286</v>
      </c>
      <c r="P11" s="351" t="s">
        <v>286</v>
      </c>
      <c r="Q11" s="351" t="s">
        <v>286</v>
      </c>
      <c r="R11" s="351" t="s">
        <v>286</v>
      </c>
      <c r="S11" s="351" t="s">
        <v>286</v>
      </c>
      <c r="T11" s="351" t="s">
        <v>286</v>
      </c>
      <c r="U11" s="351" t="s">
        <v>287</v>
      </c>
      <c r="V11" s="351" t="s">
        <v>288</v>
      </c>
      <c r="W11" s="351" t="s">
        <v>288</v>
      </c>
      <c r="X11" s="351" t="s">
        <v>288</v>
      </c>
      <c r="Y11" s="351" t="s">
        <v>288</v>
      </c>
    </row>
    <row r="12" spans="1:26" ht="15" hidden="1" customHeight="1" outlineLevel="1" x14ac:dyDescent="0.2">
      <c r="A12" s="319" t="s">
        <v>195</v>
      </c>
      <c r="B12" s="350" t="s">
        <v>289</v>
      </c>
      <c r="C12" s="343" t="s">
        <v>187</v>
      </c>
      <c r="E12" s="345" t="s">
        <v>222</v>
      </c>
      <c r="F12" s="346" t="s">
        <v>290</v>
      </c>
      <c r="N12" s="352" t="s">
        <v>197</v>
      </c>
      <c r="O12" s="352" t="s">
        <v>198</v>
      </c>
      <c r="P12" s="352" t="s">
        <v>199</v>
      </c>
      <c r="Q12" s="352" t="s">
        <v>200</v>
      </c>
      <c r="R12" s="352" t="s">
        <v>201</v>
      </c>
      <c r="S12" s="352" t="s">
        <v>202</v>
      </c>
      <c r="T12" s="352" t="s">
        <v>203</v>
      </c>
      <c r="U12" s="352" t="s">
        <v>204</v>
      </c>
      <c r="V12" s="352" t="s">
        <v>205</v>
      </c>
      <c r="W12" s="352" t="s">
        <v>206</v>
      </c>
      <c r="X12" s="352" t="s">
        <v>207</v>
      </c>
      <c r="Y12" s="352" t="s">
        <v>208</v>
      </c>
      <c r="Z12" s="352" t="s">
        <v>99</v>
      </c>
    </row>
    <row r="13" spans="1:26" ht="15" hidden="1" customHeight="1" outlineLevel="1" x14ac:dyDescent="0.2">
      <c r="A13" s="319" t="s">
        <v>192</v>
      </c>
      <c r="B13" s="342" t="s">
        <v>184</v>
      </c>
      <c r="C13" s="343" t="s">
        <v>185</v>
      </c>
      <c r="E13" s="345" t="s">
        <v>222</v>
      </c>
      <c r="F13" s="346" t="s">
        <v>291</v>
      </c>
      <c r="J13" s="353"/>
      <c r="L13" s="354" t="s">
        <v>278</v>
      </c>
      <c r="M13" s="354" t="s">
        <v>278</v>
      </c>
      <c r="N13" s="355" t="s">
        <v>292</v>
      </c>
      <c r="O13" s="355" t="s">
        <v>293</v>
      </c>
      <c r="P13" s="355" t="s">
        <v>294</v>
      </c>
      <c r="Q13" s="355" t="s">
        <v>295</v>
      </c>
      <c r="R13" s="355" t="s">
        <v>296</v>
      </c>
      <c r="S13" s="355" t="s">
        <v>297</v>
      </c>
      <c r="T13" s="355" t="s">
        <v>298</v>
      </c>
      <c r="U13" s="355" t="s">
        <v>299</v>
      </c>
      <c r="V13" s="355" t="s">
        <v>300</v>
      </c>
      <c r="W13" s="355" t="s">
        <v>301</v>
      </c>
      <c r="X13" s="355" t="s">
        <v>302</v>
      </c>
      <c r="Y13" s="355" t="s">
        <v>303</v>
      </c>
      <c r="Z13" s="355" t="s">
        <v>278</v>
      </c>
    </row>
    <row r="14" spans="1:26" ht="15" hidden="1" customHeight="1" outlineLevel="1" x14ac:dyDescent="0.2">
      <c r="A14" s="356" t="s">
        <v>209</v>
      </c>
      <c r="B14" s="350" t="s">
        <v>304</v>
      </c>
      <c r="C14" s="343" t="s">
        <v>187</v>
      </c>
      <c r="D14" s="321" t="b">
        <v>0</v>
      </c>
      <c r="E14" s="345" t="s">
        <v>222</v>
      </c>
      <c r="F14" s="346" t="s">
        <v>305</v>
      </c>
      <c r="J14" s="570" t="s">
        <v>226</v>
      </c>
      <c r="L14" s="354" t="s">
        <v>279</v>
      </c>
      <c r="M14" s="354" t="s">
        <v>306</v>
      </c>
      <c r="N14" s="357" t="s">
        <v>279</v>
      </c>
      <c r="O14" s="357" t="s">
        <v>279</v>
      </c>
      <c r="P14" s="357" t="s">
        <v>279</v>
      </c>
      <c r="Q14" s="357" t="s">
        <v>279</v>
      </c>
      <c r="R14" s="357" t="s">
        <v>279</v>
      </c>
      <c r="S14" s="357" t="s">
        <v>279</v>
      </c>
      <c r="T14" s="357" t="s">
        <v>279</v>
      </c>
      <c r="U14" s="357" t="s">
        <v>279</v>
      </c>
      <c r="V14" s="357" t="s">
        <v>279</v>
      </c>
      <c r="W14" s="357" t="s">
        <v>279</v>
      </c>
      <c r="X14" s="357" t="s">
        <v>279</v>
      </c>
      <c r="Y14" s="357" t="s">
        <v>279</v>
      </c>
      <c r="Z14" s="357" t="s">
        <v>279</v>
      </c>
    </row>
    <row r="15" spans="1:26" ht="15" hidden="1" customHeight="1" outlineLevel="1" x14ac:dyDescent="0.2">
      <c r="A15" s="358" t="s">
        <v>211</v>
      </c>
      <c r="B15" s="359"/>
      <c r="D15" s="324" t="s">
        <v>304</v>
      </c>
      <c r="E15" s="345" t="s">
        <v>222</v>
      </c>
      <c r="F15" s="346" t="s">
        <v>307</v>
      </c>
      <c r="L15" s="360" t="s">
        <v>308</v>
      </c>
      <c r="M15" s="360" t="s">
        <v>308</v>
      </c>
      <c r="N15" s="360" t="s">
        <v>308</v>
      </c>
      <c r="O15" s="360" t="s">
        <v>308</v>
      </c>
      <c r="P15" s="360" t="s">
        <v>308</v>
      </c>
      <c r="Q15" s="360" t="s">
        <v>308</v>
      </c>
      <c r="R15" s="360" t="s">
        <v>308</v>
      </c>
      <c r="S15" s="360" t="s">
        <v>308</v>
      </c>
      <c r="T15" s="360" t="s">
        <v>308</v>
      </c>
      <c r="U15" s="360" t="s">
        <v>308</v>
      </c>
      <c r="V15" s="360" t="s">
        <v>308</v>
      </c>
      <c r="W15" s="360" t="s">
        <v>308</v>
      </c>
      <c r="X15" s="360" t="s">
        <v>308</v>
      </c>
      <c r="Y15" s="360" t="s">
        <v>308</v>
      </c>
      <c r="Z15" s="360" t="s">
        <v>308</v>
      </c>
    </row>
    <row r="16" spans="1:26" ht="15" hidden="1" customHeight="1" outlineLevel="1" x14ac:dyDescent="0.2">
      <c r="A16" s="361" t="s">
        <v>190</v>
      </c>
      <c r="B16" s="362" t="s">
        <v>280</v>
      </c>
      <c r="C16" s="363" t="s">
        <v>212</v>
      </c>
      <c r="E16" s="345" t="s">
        <v>309</v>
      </c>
      <c r="F16" s="346" t="s">
        <v>279</v>
      </c>
    </row>
    <row r="17" spans="1:27" ht="15" hidden="1" customHeight="1" outlineLevel="1" x14ac:dyDescent="0.3">
      <c r="A17" s="336" t="s">
        <v>213</v>
      </c>
      <c r="B17" s="337" t="s">
        <v>310</v>
      </c>
      <c r="C17" s="321">
        <v>2</v>
      </c>
      <c r="D17" s="324" t="s">
        <v>214</v>
      </c>
      <c r="E17" s="345" t="s">
        <v>222</v>
      </c>
      <c r="F17" s="346" t="s">
        <v>311</v>
      </c>
      <c r="L17" s="347" t="s">
        <v>222</v>
      </c>
      <c r="M17" s="347" t="s">
        <v>278</v>
      </c>
      <c r="N17" s="347" t="s">
        <v>278</v>
      </c>
      <c r="O17" s="347" t="s">
        <v>292</v>
      </c>
      <c r="P17" s="347" t="s">
        <v>293</v>
      </c>
      <c r="Q17" s="347" t="s">
        <v>294</v>
      </c>
      <c r="R17" s="347" t="s">
        <v>295</v>
      </c>
      <c r="S17" s="347" t="s">
        <v>296</v>
      </c>
      <c r="T17" s="347" t="s">
        <v>297</v>
      </c>
      <c r="U17" s="347" t="s">
        <v>298</v>
      </c>
      <c r="V17" s="347" t="s">
        <v>299</v>
      </c>
      <c r="W17" s="347" t="s">
        <v>300</v>
      </c>
      <c r="X17" s="347" t="s">
        <v>301</v>
      </c>
      <c r="Y17" s="347" t="s">
        <v>302</v>
      </c>
      <c r="Z17" s="347" t="s">
        <v>303</v>
      </c>
      <c r="AA17" s="347" t="s">
        <v>278</v>
      </c>
    </row>
    <row r="18" spans="1:27" ht="15" hidden="1" customHeight="1" outlineLevel="1" x14ac:dyDescent="0.3">
      <c r="B18" s="337" t="s">
        <v>312</v>
      </c>
      <c r="D18" s="324" t="s">
        <v>215</v>
      </c>
      <c r="E18" s="345" t="s">
        <v>222</v>
      </c>
      <c r="F18" s="346" t="s">
        <v>313</v>
      </c>
      <c r="L18" s="347" t="s">
        <v>222</v>
      </c>
      <c r="M18" s="347" t="s">
        <v>279</v>
      </c>
      <c r="N18" s="347" t="s">
        <v>306</v>
      </c>
      <c r="O18" s="347" t="s">
        <v>279</v>
      </c>
      <c r="P18" s="347" t="s">
        <v>279</v>
      </c>
      <c r="Q18" s="347" t="s">
        <v>279</v>
      </c>
      <c r="R18" s="347" t="s">
        <v>279</v>
      </c>
      <c r="S18" s="347" t="s">
        <v>279</v>
      </c>
      <c r="T18" s="347" t="s">
        <v>279</v>
      </c>
      <c r="U18" s="347" t="s">
        <v>279</v>
      </c>
      <c r="V18" s="347" t="s">
        <v>279</v>
      </c>
      <c r="W18" s="347" t="s">
        <v>279</v>
      </c>
      <c r="X18" s="347" t="s">
        <v>279</v>
      </c>
      <c r="Y18" s="347" t="s">
        <v>279</v>
      </c>
      <c r="Z18" s="347" t="s">
        <v>279</v>
      </c>
      <c r="AA18" s="347" t="s">
        <v>279</v>
      </c>
    </row>
    <row r="19" spans="1:27" ht="15" hidden="1" customHeight="1" outlineLevel="1" x14ac:dyDescent="0.3">
      <c r="E19" s="345" t="s">
        <v>222</v>
      </c>
      <c r="F19" s="346" t="s">
        <v>314</v>
      </c>
      <c r="L19" s="347" t="s">
        <v>222</v>
      </c>
      <c r="M19" s="347" t="s">
        <v>308</v>
      </c>
      <c r="N19" s="347" t="s">
        <v>308</v>
      </c>
      <c r="O19" s="347" t="s">
        <v>308</v>
      </c>
      <c r="P19" s="347" t="s">
        <v>308</v>
      </c>
      <c r="Q19" s="347" t="s">
        <v>308</v>
      </c>
      <c r="R19" s="347" t="s">
        <v>308</v>
      </c>
      <c r="S19" s="347" t="s">
        <v>308</v>
      </c>
      <c r="T19" s="347" t="s">
        <v>308</v>
      </c>
      <c r="U19" s="347" t="s">
        <v>308</v>
      </c>
      <c r="V19" s="347" t="s">
        <v>308</v>
      </c>
      <c r="W19" s="347" t="s">
        <v>308</v>
      </c>
      <c r="X19" s="347" t="s">
        <v>308</v>
      </c>
      <c r="Y19" s="347" t="s">
        <v>308</v>
      </c>
      <c r="Z19" s="347" t="s">
        <v>308</v>
      </c>
      <c r="AA19" s="347" t="s">
        <v>308</v>
      </c>
    </row>
    <row r="20" spans="1:27" ht="36.9" customHeight="1" collapsed="1" thickBot="1" x14ac:dyDescent="0.25">
      <c r="E20" s="345" t="s">
        <v>222</v>
      </c>
      <c r="F20" s="346" t="s">
        <v>315</v>
      </c>
    </row>
    <row r="21" spans="1:27" ht="15" customHeight="1" thickBot="1" x14ac:dyDescent="0.25">
      <c r="K21" s="364" t="s">
        <v>181</v>
      </c>
      <c r="L21" s="365" t="s">
        <v>258</v>
      </c>
    </row>
    <row r="22" spans="1:27" ht="15" customHeight="1" thickBot="1" x14ac:dyDescent="0.45">
      <c r="K22" s="366" t="s">
        <v>316</v>
      </c>
      <c r="L22" s="365" t="s">
        <v>279</v>
      </c>
      <c r="M22" s="367"/>
      <c r="N22" s="367"/>
      <c r="O22" s="368" t="s">
        <v>317</v>
      </c>
    </row>
    <row r="23" spans="1:27" ht="15" customHeight="1" thickBot="1" x14ac:dyDescent="0.45">
      <c r="K23" s="366" t="s">
        <v>318</v>
      </c>
      <c r="L23" s="365" t="s">
        <v>280</v>
      </c>
      <c r="M23" s="367"/>
      <c r="N23" s="367"/>
      <c r="O23" s="368" t="s">
        <v>91</v>
      </c>
    </row>
    <row r="24" spans="1:27" ht="15" customHeight="1" thickBot="1" x14ac:dyDescent="0.45">
      <c r="F24" s="323"/>
      <c r="K24" s="366" t="s">
        <v>319</v>
      </c>
      <c r="L24" s="365" t="s">
        <v>278</v>
      </c>
      <c r="M24" s="367"/>
      <c r="N24" s="367"/>
      <c r="O24" s="368" t="s">
        <v>320</v>
      </c>
    </row>
    <row r="25" spans="1:27" ht="15" customHeight="1" thickBot="1" x14ac:dyDescent="0.45">
      <c r="F25" s="323"/>
      <c r="G25" s="323"/>
      <c r="K25" s="369" t="s">
        <v>219</v>
      </c>
      <c r="L25" s="370" t="s">
        <v>173</v>
      </c>
      <c r="Q25" s="371"/>
    </row>
    <row r="26" spans="1:27" ht="27" customHeight="1" thickBot="1" x14ac:dyDescent="0.45">
      <c r="F26" s="323"/>
      <c r="G26" s="323"/>
      <c r="K26" s="369"/>
      <c r="L26" s="372" t="s">
        <v>91</v>
      </c>
      <c r="Q26" s="371"/>
    </row>
    <row r="27" spans="1:27" ht="17.100000000000001" customHeight="1" x14ac:dyDescent="0.4">
      <c r="F27" s="323"/>
      <c r="G27" s="323"/>
      <c r="J27" s="373"/>
      <c r="K27" s="374"/>
      <c r="L27" s="375"/>
      <c r="M27" s="376"/>
      <c r="N27" s="376"/>
      <c r="P27" s="377" t="s">
        <v>321</v>
      </c>
    </row>
    <row r="28" spans="1:27" ht="17.100000000000001" customHeight="1" x14ac:dyDescent="0.4">
      <c r="F28" s="323"/>
      <c r="G28" s="323"/>
      <c r="J28" s="378" t="s">
        <v>322</v>
      </c>
      <c r="K28" s="379"/>
      <c r="L28" s="380"/>
      <c r="M28" s="381"/>
      <c r="N28" s="381"/>
    </row>
    <row r="29" spans="1:27" ht="17.100000000000001" customHeight="1" thickBot="1" x14ac:dyDescent="0.45">
      <c r="F29" s="323"/>
      <c r="G29" s="323"/>
      <c r="J29" s="382"/>
      <c r="K29" s="383"/>
      <c r="L29" s="384"/>
      <c r="M29" s="376"/>
      <c r="N29" s="376"/>
      <c r="P29" s="385" t="s">
        <v>323</v>
      </c>
    </row>
    <row r="30" spans="1:27" ht="15" customHeight="1" x14ac:dyDescent="0.4">
      <c r="F30" s="323"/>
      <c r="G30" s="323"/>
      <c r="H30" s="386" t="s">
        <v>222</v>
      </c>
    </row>
    <row r="31" spans="1:27" ht="15" customHeight="1" x14ac:dyDescent="0.4">
      <c r="F31" s="323"/>
      <c r="G31" s="323"/>
      <c r="H31" s="386" t="s">
        <v>222</v>
      </c>
      <c r="I31" s="321"/>
      <c r="J31" s="387" t="s">
        <v>224</v>
      </c>
      <c r="K31" s="353"/>
      <c r="L31" s="353"/>
      <c r="M31" s="388" t="s">
        <v>279</v>
      </c>
      <c r="N31" s="388" t="s">
        <v>306</v>
      </c>
      <c r="O31" s="389" t="s">
        <v>317</v>
      </c>
      <c r="P31" s="389" t="s">
        <v>317</v>
      </c>
      <c r="Q31" s="389" t="s">
        <v>317</v>
      </c>
      <c r="R31" s="389" t="s">
        <v>317</v>
      </c>
      <c r="S31" s="389" t="s">
        <v>317</v>
      </c>
      <c r="T31" s="389" t="s">
        <v>317</v>
      </c>
      <c r="U31" s="389" t="s">
        <v>317</v>
      </c>
      <c r="V31" s="389" t="s">
        <v>317</v>
      </c>
      <c r="W31" s="389" t="s">
        <v>317</v>
      </c>
      <c r="X31" s="389" t="s">
        <v>317</v>
      </c>
      <c r="Y31" s="389" t="s">
        <v>317</v>
      </c>
      <c r="Z31" s="389" t="s">
        <v>317</v>
      </c>
      <c r="AA31" s="389" t="s">
        <v>317</v>
      </c>
    </row>
    <row r="32" spans="1:27" ht="15" customHeight="1" x14ac:dyDescent="0.4">
      <c r="F32" s="323"/>
      <c r="G32" s="323"/>
      <c r="H32" s="321"/>
      <c r="I32" s="321"/>
      <c r="J32" s="390" t="s">
        <v>225</v>
      </c>
      <c r="K32" s="570" t="s">
        <v>226</v>
      </c>
      <c r="L32" s="570" t="s">
        <v>227</v>
      </c>
      <c r="M32" s="388" t="s">
        <v>278</v>
      </c>
      <c r="N32" s="388" t="s">
        <v>278</v>
      </c>
      <c r="O32" s="391" t="s">
        <v>324</v>
      </c>
      <c r="P32" s="391" t="s">
        <v>325</v>
      </c>
      <c r="Q32" s="391" t="s">
        <v>326</v>
      </c>
      <c r="R32" s="391" t="s">
        <v>327</v>
      </c>
      <c r="S32" s="391" t="s">
        <v>328</v>
      </c>
      <c r="T32" s="391" t="s">
        <v>329</v>
      </c>
      <c r="U32" s="391" t="s">
        <v>330</v>
      </c>
      <c r="V32" s="391" t="s">
        <v>331</v>
      </c>
      <c r="W32" s="391" t="s">
        <v>332</v>
      </c>
      <c r="X32" s="391" t="s">
        <v>333</v>
      </c>
      <c r="Y32" s="391" t="s">
        <v>334</v>
      </c>
      <c r="Z32" s="391" t="s">
        <v>335</v>
      </c>
      <c r="AA32" s="391" t="s">
        <v>320</v>
      </c>
    </row>
    <row r="33" spans="4:27" ht="8.6999999999999993" customHeight="1" x14ac:dyDescent="0.4">
      <c r="F33" s="323"/>
      <c r="G33" s="323"/>
      <c r="I33" s="321"/>
      <c r="J33" s="321"/>
      <c r="K33" s="321"/>
      <c r="L33" s="321"/>
      <c r="M33" s="321"/>
      <c r="N33" s="321"/>
    </row>
    <row r="34" spans="4:27" ht="15" customHeight="1" x14ac:dyDescent="0.4">
      <c r="F34" s="323"/>
      <c r="G34" s="323"/>
      <c r="J34" s="392" t="s">
        <v>336</v>
      </c>
      <c r="K34" s="392" t="s">
        <v>259</v>
      </c>
      <c r="L34" s="392" t="s">
        <v>258</v>
      </c>
      <c r="M34" s="393">
        <v>484137049.65671277</v>
      </c>
      <c r="N34" s="393">
        <v>492415871.49867469</v>
      </c>
      <c r="O34" s="393">
        <v>32228058.27</v>
      </c>
      <c r="P34" s="393">
        <v>21713640.07</v>
      </c>
      <c r="Q34" s="393">
        <v>25450216.030000001</v>
      </c>
      <c r="R34" s="393">
        <v>34854262.670000002</v>
      </c>
      <c r="S34" s="393">
        <v>43952946.369999997</v>
      </c>
      <c r="T34" s="393">
        <v>52722323.030000001</v>
      </c>
      <c r="U34" s="393">
        <v>57217625.990000002</v>
      </c>
      <c r="V34" s="393">
        <v>63872766.116139203</v>
      </c>
      <c r="W34" s="393">
        <v>55569155.451327503</v>
      </c>
      <c r="X34" s="393">
        <v>47144848.826418601</v>
      </c>
      <c r="Y34" s="393">
        <v>29245158.232035201</v>
      </c>
      <c r="Z34" s="393">
        <v>20166048.6007923</v>
      </c>
      <c r="AA34" s="393">
        <v>484137049.65671277</v>
      </c>
    </row>
    <row r="35" spans="4:27" ht="15" customHeight="1" x14ac:dyDescent="0.4">
      <c r="F35" s="323"/>
      <c r="G35" s="323"/>
      <c r="J35" s="392" t="s">
        <v>336</v>
      </c>
      <c r="K35" s="394" t="s">
        <v>337</v>
      </c>
      <c r="L35" s="392" t="s">
        <v>338</v>
      </c>
      <c r="M35" s="393">
        <v>484137049.65671277</v>
      </c>
      <c r="N35" s="393">
        <v>492415871.49867469</v>
      </c>
      <c r="O35" s="393">
        <v>32228058.27</v>
      </c>
      <c r="P35" s="393">
        <v>21713640.07</v>
      </c>
      <c r="Q35" s="393">
        <v>25450216.030000001</v>
      </c>
      <c r="R35" s="393">
        <v>34854262.670000002</v>
      </c>
      <c r="S35" s="393">
        <v>43952946.369999997</v>
      </c>
      <c r="T35" s="393">
        <v>52722323.030000001</v>
      </c>
      <c r="U35" s="393">
        <v>57217625.990000002</v>
      </c>
      <c r="V35" s="393">
        <v>63872766.116139203</v>
      </c>
      <c r="W35" s="393">
        <v>55569155.451327503</v>
      </c>
      <c r="X35" s="393">
        <v>47144848.826418601</v>
      </c>
      <c r="Y35" s="393">
        <v>29245158.232035201</v>
      </c>
      <c r="Z35" s="393">
        <v>20166048.6007923</v>
      </c>
      <c r="AA35" s="393">
        <v>484137049.65671277</v>
      </c>
    </row>
    <row r="36" spans="4:27" ht="15" customHeight="1" x14ac:dyDescent="0.4">
      <c r="F36" s="323"/>
      <c r="G36" s="323"/>
      <c r="J36" s="392" t="s">
        <v>336</v>
      </c>
      <c r="K36" s="395" t="s">
        <v>339</v>
      </c>
      <c r="L36" s="392" t="s">
        <v>340</v>
      </c>
      <c r="M36" s="393">
        <v>724284092.91329682</v>
      </c>
      <c r="N36" s="393">
        <v>743566026.22922945</v>
      </c>
      <c r="O36" s="393">
        <v>50076782.829999998</v>
      </c>
      <c r="P36" s="393">
        <v>37273948.189999998</v>
      </c>
      <c r="Q36" s="393">
        <v>44551573.689999998</v>
      </c>
      <c r="R36" s="393">
        <v>53444269.990000002</v>
      </c>
      <c r="S36" s="393">
        <v>64742277.710000001</v>
      </c>
      <c r="T36" s="393">
        <v>73871136.890000001</v>
      </c>
      <c r="U36" s="393">
        <v>83740317.560000002</v>
      </c>
      <c r="V36" s="393">
        <v>91514251.211034298</v>
      </c>
      <c r="W36" s="393">
        <v>72841876.114989594</v>
      </c>
      <c r="X36" s="393">
        <v>68894249.583724797</v>
      </c>
      <c r="Y36" s="393">
        <v>44961974.273254901</v>
      </c>
      <c r="Z36" s="393">
        <v>38371434.8702932</v>
      </c>
      <c r="AA36" s="393">
        <v>724284092.91329682</v>
      </c>
    </row>
    <row r="37" spans="4:27" ht="15" customHeight="1" x14ac:dyDescent="0.4">
      <c r="F37" s="323"/>
      <c r="G37" s="323"/>
      <c r="J37" s="392" t="s">
        <v>336</v>
      </c>
      <c r="K37" s="396" t="s">
        <v>341</v>
      </c>
      <c r="L37" s="392" t="s">
        <v>341</v>
      </c>
      <c r="M37" s="393">
        <v>2676396471.4715629</v>
      </c>
      <c r="N37" s="393">
        <v>3172996810.8422518</v>
      </c>
      <c r="O37" s="393">
        <v>197737051.05000001</v>
      </c>
      <c r="P37" s="393">
        <v>168252679.25999999</v>
      </c>
      <c r="Q37" s="393">
        <v>185683459.80000001</v>
      </c>
      <c r="R37" s="393">
        <v>208337359.11000001</v>
      </c>
      <c r="S37" s="393">
        <v>226059370</v>
      </c>
      <c r="T37" s="393">
        <v>242807135.63999999</v>
      </c>
      <c r="U37" s="393">
        <v>266563955.56</v>
      </c>
      <c r="V37" s="393">
        <v>272462671.26721722</v>
      </c>
      <c r="W37" s="393">
        <v>257745513.0260804</v>
      </c>
      <c r="X37" s="393">
        <v>240764529.4601478</v>
      </c>
      <c r="Y37" s="393">
        <v>205909538.7962915</v>
      </c>
      <c r="Z37" s="393">
        <v>204073208.50182599</v>
      </c>
      <c r="AA37" s="393">
        <v>2676396471.4715629</v>
      </c>
    </row>
    <row r="38" spans="4:27" ht="15" customHeight="1" x14ac:dyDescent="0.4">
      <c r="F38" s="323"/>
      <c r="G38" s="323"/>
      <c r="J38" s="392" t="s">
        <v>336</v>
      </c>
      <c r="K38" s="397" t="s">
        <v>342</v>
      </c>
      <c r="L38" s="392" t="s">
        <v>343</v>
      </c>
      <c r="M38" s="393">
        <v>2676396471.4715629</v>
      </c>
      <c r="N38" s="393">
        <v>3172996810.8422518</v>
      </c>
      <c r="O38" s="393">
        <v>197737051.05000001</v>
      </c>
      <c r="P38" s="393">
        <v>168252679.25999999</v>
      </c>
      <c r="Q38" s="393">
        <v>185683459.80000001</v>
      </c>
      <c r="R38" s="393">
        <v>208337359.11000001</v>
      </c>
      <c r="S38" s="393">
        <v>226059370</v>
      </c>
      <c r="T38" s="393">
        <v>242807135.63999999</v>
      </c>
      <c r="U38" s="393">
        <v>266563955.56</v>
      </c>
      <c r="V38" s="393">
        <v>272462671.26721722</v>
      </c>
      <c r="W38" s="393">
        <v>257745513.0260804</v>
      </c>
      <c r="X38" s="393">
        <v>240764529.4601478</v>
      </c>
      <c r="Y38" s="393">
        <v>205909538.7962915</v>
      </c>
      <c r="Z38" s="393">
        <v>204073208.50182599</v>
      </c>
      <c r="AA38" s="393">
        <v>2676396471.4715629</v>
      </c>
    </row>
    <row r="39" spans="4:27" ht="15" customHeight="1" x14ac:dyDescent="0.4">
      <c r="F39" s="323"/>
      <c r="G39" s="323"/>
      <c r="J39" s="392" t="s">
        <v>336</v>
      </c>
      <c r="K39" s="398" t="s">
        <v>344</v>
      </c>
      <c r="L39" s="392" t="s">
        <v>345</v>
      </c>
      <c r="M39" s="393">
        <v>2676396471.4715629</v>
      </c>
      <c r="N39" s="393">
        <v>3172996810.8422518</v>
      </c>
      <c r="O39" s="393">
        <v>197737051.05000001</v>
      </c>
      <c r="P39" s="393">
        <v>168252679.25999999</v>
      </c>
      <c r="Q39" s="393">
        <v>185683459.80000001</v>
      </c>
      <c r="R39" s="393">
        <v>208337359.11000001</v>
      </c>
      <c r="S39" s="393">
        <v>226059370</v>
      </c>
      <c r="T39" s="393">
        <v>242807135.63999999</v>
      </c>
      <c r="U39" s="393">
        <v>266563955.56</v>
      </c>
      <c r="V39" s="393">
        <v>272462671.26721722</v>
      </c>
      <c r="W39" s="393">
        <v>257745513.0260804</v>
      </c>
      <c r="X39" s="393">
        <v>240764529.4601478</v>
      </c>
      <c r="Y39" s="393">
        <v>205909538.7962915</v>
      </c>
      <c r="Z39" s="393">
        <v>204073208.50182599</v>
      </c>
      <c r="AA39" s="393">
        <v>2676396471.4715629</v>
      </c>
    </row>
    <row r="40" spans="4:27" ht="15" customHeight="1" x14ac:dyDescent="0.4">
      <c r="F40" s="323"/>
      <c r="G40" s="323"/>
      <c r="J40" s="392" t="s">
        <v>336</v>
      </c>
      <c r="K40" s="399" t="s">
        <v>346</v>
      </c>
      <c r="L40" s="392" t="s">
        <v>347</v>
      </c>
      <c r="M40" s="393">
        <v>1742191898.6500001</v>
      </c>
      <c r="N40" s="393">
        <v>1840371168.3600008</v>
      </c>
      <c r="O40" s="393">
        <v>119983562.44</v>
      </c>
      <c r="P40" s="393">
        <v>100796281.45999999</v>
      </c>
      <c r="Q40" s="393">
        <v>104486720.66</v>
      </c>
      <c r="R40" s="393">
        <v>130825079.03</v>
      </c>
      <c r="S40" s="393">
        <v>139761723.50999999</v>
      </c>
      <c r="T40" s="393">
        <v>159161872.49000001</v>
      </c>
      <c r="U40" s="393">
        <v>186240066.06999999</v>
      </c>
      <c r="V40" s="393">
        <v>192647383.65000001</v>
      </c>
      <c r="W40" s="393">
        <v>184952400.86000001</v>
      </c>
      <c r="X40" s="393">
        <v>166965063.78</v>
      </c>
      <c r="Y40" s="393">
        <v>136686753.25</v>
      </c>
      <c r="Z40" s="393">
        <v>119684991.45</v>
      </c>
      <c r="AA40" s="393">
        <v>1742191898.6500001</v>
      </c>
    </row>
    <row r="41" spans="4:27" ht="15" customHeight="1" x14ac:dyDescent="0.4">
      <c r="G41" s="323"/>
      <c r="J41" s="400" t="s">
        <v>336</v>
      </c>
      <c r="K41" s="401" t="s">
        <v>348</v>
      </c>
      <c r="L41" s="402" t="s">
        <v>349</v>
      </c>
      <c r="M41" s="402">
        <v>940361645.87</v>
      </c>
      <c r="N41" s="402">
        <v>962918644.0000006</v>
      </c>
      <c r="O41" s="402">
        <v>69269822.829999998</v>
      </c>
      <c r="P41" s="402">
        <v>58869928.869999997</v>
      </c>
      <c r="Q41" s="402">
        <v>60696837.310000002</v>
      </c>
      <c r="R41" s="402">
        <v>68591917.129999995</v>
      </c>
      <c r="S41" s="402">
        <v>72621989.640000001</v>
      </c>
      <c r="T41" s="402">
        <v>81787104.650000006</v>
      </c>
      <c r="U41" s="402">
        <v>94300963.439999998</v>
      </c>
      <c r="V41" s="402">
        <v>107162440</v>
      </c>
      <c r="W41" s="402">
        <v>97202443</v>
      </c>
      <c r="X41" s="402">
        <v>88715924</v>
      </c>
      <c r="Y41" s="402">
        <v>76179972</v>
      </c>
      <c r="Z41" s="402">
        <v>64962303</v>
      </c>
      <c r="AA41" s="402">
        <v>940361645.87</v>
      </c>
    </row>
    <row r="42" spans="4:27" ht="15" customHeight="1" x14ac:dyDescent="0.4">
      <c r="G42" s="323"/>
      <c r="J42" s="400" t="s">
        <v>336</v>
      </c>
      <c r="K42" s="401" t="s">
        <v>350</v>
      </c>
      <c r="L42" s="402" t="s">
        <v>351</v>
      </c>
      <c r="M42" s="402">
        <v>525191999.42000002</v>
      </c>
      <c r="N42" s="402">
        <v>681937464</v>
      </c>
      <c r="O42" s="402">
        <v>36586462.82</v>
      </c>
      <c r="P42" s="402">
        <v>30094821.460000001</v>
      </c>
      <c r="Q42" s="402">
        <v>31492274.199999999</v>
      </c>
      <c r="R42" s="402">
        <v>39743842.68</v>
      </c>
      <c r="S42" s="402">
        <v>42986935.950000003</v>
      </c>
      <c r="T42" s="402">
        <v>49736513.359999999</v>
      </c>
      <c r="U42" s="402">
        <v>59420228.950000003</v>
      </c>
      <c r="V42" s="402">
        <v>55063365</v>
      </c>
      <c r="W42" s="402">
        <v>56590075</v>
      </c>
      <c r="X42" s="402">
        <v>50235500</v>
      </c>
      <c r="Y42" s="402">
        <v>38532547</v>
      </c>
      <c r="Z42" s="402">
        <v>34709433</v>
      </c>
      <c r="AA42" s="402">
        <v>525191999.42000002</v>
      </c>
    </row>
    <row r="43" spans="4:27" ht="15" customHeight="1" x14ac:dyDescent="0.4">
      <c r="G43" s="323"/>
      <c r="J43" s="400" t="s">
        <v>336</v>
      </c>
      <c r="K43" s="401" t="s">
        <v>352</v>
      </c>
      <c r="L43" s="402" t="s">
        <v>353</v>
      </c>
      <c r="M43" s="402">
        <v>-1839215.7</v>
      </c>
      <c r="N43" s="402">
        <v>-1798136</v>
      </c>
      <c r="O43" s="402">
        <v>-137369.32999999999</v>
      </c>
      <c r="P43" s="402">
        <v>-114915.2</v>
      </c>
      <c r="Q43" s="402">
        <v>-119970.07</v>
      </c>
      <c r="R43" s="402">
        <v>-138568.04</v>
      </c>
      <c r="S43" s="402">
        <v>-148924.51</v>
      </c>
      <c r="T43" s="402">
        <v>-170462.93</v>
      </c>
      <c r="U43" s="402">
        <v>-201019.62</v>
      </c>
      <c r="V43" s="402">
        <v>-187197</v>
      </c>
      <c r="W43" s="402">
        <v>-191570</v>
      </c>
      <c r="X43" s="402">
        <v>-172290</v>
      </c>
      <c r="Y43" s="402">
        <v>-134671</v>
      </c>
      <c r="Z43" s="402">
        <v>-122258</v>
      </c>
      <c r="AA43" s="402">
        <v>-1839215.7</v>
      </c>
    </row>
    <row r="44" spans="4:27" ht="15" customHeight="1" x14ac:dyDescent="0.4">
      <c r="G44" s="323"/>
      <c r="J44" s="400" t="s">
        <v>336</v>
      </c>
      <c r="K44" s="401" t="s">
        <v>354</v>
      </c>
      <c r="L44" s="402" t="s">
        <v>355</v>
      </c>
      <c r="M44" s="402">
        <v>28403944.210000001</v>
      </c>
      <c r="N44" s="402">
        <v>28088243</v>
      </c>
      <c r="O44" s="402">
        <v>2095954.8</v>
      </c>
      <c r="P44" s="402">
        <v>1753536.31</v>
      </c>
      <c r="Q44" s="402">
        <v>1823567.82</v>
      </c>
      <c r="R44" s="402">
        <v>2100430.0099999998</v>
      </c>
      <c r="S44" s="402">
        <v>2277823.96</v>
      </c>
      <c r="T44" s="402">
        <v>2632148.27</v>
      </c>
      <c r="U44" s="402">
        <v>3099741.04</v>
      </c>
      <c r="V44" s="402">
        <v>2923778</v>
      </c>
      <c r="W44" s="402">
        <v>2992047</v>
      </c>
      <c r="X44" s="402">
        <v>2691076</v>
      </c>
      <c r="Y44" s="402">
        <v>2103804</v>
      </c>
      <c r="Z44" s="402">
        <v>1910037</v>
      </c>
      <c r="AA44" s="402">
        <v>28403944.210000001</v>
      </c>
    </row>
    <row r="45" spans="4:27" ht="15" customHeight="1" x14ac:dyDescent="0.4">
      <c r="G45" s="323"/>
      <c r="J45" s="400" t="s">
        <v>336</v>
      </c>
      <c r="K45" s="401" t="s">
        <v>356</v>
      </c>
      <c r="L45" s="402" t="s">
        <v>357</v>
      </c>
      <c r="M45" s="402">
        <v>9408956.1500000004</v>
      </c>
      <c r="N45" s="402">
        <v>9194547</v>
      </c>
      <c r="O45" s="402">
        <v>704657.24</v>
      </c>
      <c r="P45" s="402">
        <v>588714.35</v>
      </c>
      <c r="Q45" s="402">
        <v>613975.51</v>
      </c>
      <c r="R45" s="402">
        <v>708617.3</v>
      </c>
      <c r="S45" s="402">
        <v>762113.51</v>
      </c>
      <c r="T45" s="402">
        <v>871714.27</v>
      </c>
      <c r="U45" s="402">
        <v>1027727.97</v>
      </c>
      <c r="V45" s="402">
        <v>957138</v>
      </c>
      <c r="W45" s="402">
        <v>979499</v>
      </c>
      <c r="X45" s="402">
        <v>880939</v>
      </c>
      <c r="Y45" s="402">
        <v>688660</v>
      </c>
      <c r="Z45" s="402">
        <v>625200</v>
      </c>
      <c r="AA45" s="402">
        <v>9408956.1500000004</v>
      </c>
    </row>
    <row r="46" spans="4:27" ht="15" customHeight="1" x14ac:dyDescent="0.4">
      <c r="G46" s="323"/>
      <c r="J46" s="400" t="s">
        <v>336</v>
      </c>
      <c r="K46" s="401" t="s">
        <v>358</v>
      </c>
      <c r="L46" s="402" t="s">
        <v>359</v>
      </c>
      <c r="M46" s="402">
        <v>33868815.130000003</v>
      </c>
      <c r="N46" s="402">
        <v>35795592.810000002</v>
      </c>
      <c r="O46" s="402">
        <v>2379889.13</v>
      </c>
      <c r="P46" s="402">
        <v>2000818.59</v>
      </c>
      <c r="Q46" s="402">
        <v>2065775.99</v>
      </c>
      <c r="R46" s="402">
        <v>2567443.91</v>
      </c>
      <c r="S46" s="402">
        <v>2730754.82</v>
      </c>
      <c r="T46" s="402">
        <v>3121625.46</v>
      </c>
      <c r="U46" s="402">
        <v>3650347.82</v>
      </c>
      <c r="V46" s="402">
        <v>3523343.59</v>
      </c>
      <c r="W46" s="402">
        <v>3623123.21</v>
      </c>
      <c r="X46" s="402">
        <v>3255037.18</v>
      </c>
      <c r="Y46" s="402">
        <v>2581294.1800000002</v>
      </c>
      <c r="Z46" s="402">
        <v>2369361.25</v>
      </c>
      <c r="AA46" s="402">
        <v>33868815.130000003</v>
      </c>
    </row>
    <row r="47" spans="4:27" ht="15" customHeight="1" x14ac:dyDescent="0.4">
      <c r="D47" s="324" t="s">
        <v>360</v>
      </c>
      <c r="G47" s="323"/>
      <c r="J47" s="400" t="s">
        <v>336</v>
      </c>
      <c r="K47" s="401" t="s">
        <v>361</v>
      </c>
      <c r="L47" s="402" t="s">
        <v>362</v>
      </c>
      <c r="M47" s="402">
        <v>41326285.439999998</v>
      </c>
      <c r="N47" s="402">
        <v>42507853.5</v>
      </c>
      <c r="O47" s="402">
        <v>2930421.21</v>
      </c>
      <c r="P47" s="402">
        <v>2460163.08</v>
      </c>
      <c r="Q47" s="402">
        <v>2550750.94</v>
      </c>
      <c r="R47" s="402">
        <v>3196615.34</v>
      </c>
      <c r="S47" s="402">
        <v>3415900.91</v>
      </c>
      <c r="T47" s="402">
        <v>3891194.24</v>
      </c>
      <c r="U47" s="402">
        <v>4554921.59</v>
      </c>
      <c r="V47" s="402">
        <v>4217385.07</v>
      </c>
      <c r="W47" s="402">
        <v>4326206.5999999996</v>
      </c>
      <c r="X47" s="402">
        <v>3882938.8</v>
      </c>
      <c r="Y47" s="402">
        <v>3072779.88</v>
      </c>
      <c r="Z47" s="402">
        <v>2827007.78</v>
      </c>
      <c r="AA47" s="402">
        <v>41326285.439999998</v>
      </c>
    </row>
    <row r="48" spans="4:27" ht="15" customHeight="1" x14ac:dyDescent="0.4">
      <c r="F48" s="323"/>
      <c r="G48" s="323"/>
      <c r="J48" s="400" t="s">
        <v>336</v>
      </c>
      <c r="K48" s="401" t="s">
        <v>363</v>
      </c>
      <c r="L48" s="402" t="s">
        <v>364</v>
      </c>
      <c r="M48" s="402">
        <v>38238544.329999998</v>
      </c>
      <c r="N48" s="402">
        <v>37679410.049999997</v>
      </c>
      <c r="O48" s="402">
        <v>2863324.14</v>
      </c>
      <c r="P48" s="402">
        <v>2394045.73</v>
      </c>
      <c r="Q48" s="402">
        <v>2496424.59</v>
      </c>
      <c r="R48" s="402">
        <v>2880565.67</v>
      </c>
      <c r="S48" s="402">
        <v>3097094.72</v>
      </c>
      <c r="T48" s="402">
        <v>3541652.87</v>
      </c>
      <c r="U48" s="402">
        <v>4174167.61</v>
      </c>
      <c r="V48" s="402">
        <v>3888639.5</v>
      </c>
      <c r="W48" s="402">
        <v>3979290.18</v>
      </c>
      <c r="X48" s="402">
        <v>3579817.36</v>
      </c>
      <c r="Y48" s="402">
        <v>2800311.55</v>
      </c>
      <c r="Z48" s="402">
        <v>2543210.41</v>
      </c>
      <c r="AA48" s="402">
        <v>38238544.329999998</v>
      </c>
    </row>
    <row r="49" spans="4:27" ht="15" customHeight="1" x14ac:dyDescent="0.4">
      <c r="F49" s="323"/>
      <c r="G49" s="323"/>
      <c r="J49" s="400" t="s">
        <v>336</v>
      </c>
      <c r="K49" s="401" t="s">
        <v>365</v>
      </c>
      <c r="L49" s="402" t="s">
        <v>366</v>
      </c>
      <c r="M49" s="402">
        <v>43949422.390000001</v>
      </c>
      <c r="N49" s="402">
        <v>44047550</v>
      </c>
      <c r="O49" s="402">
        <v>3290399.6</v>
      </c>
      <c r="P49" s="402">
        <v>2749168.27</v>
      </c>
      <c r="Q49" s="402">
        <v>2867077.43</v>
      </c>
      <c r="R49" s="402">
        <v>3309989.16</v>
      </c>
      <c r="S49" s="402">
        <v>3559703.26</v>
      </c>
      <c r="T49" s="402">
        <v>4072211.85</v>
      </c>
      <c r="U49" s="402">
        <v>4801445.82</v>
      </c>
      <c r="V49" s="402">
        <v>4471410</v>
      </c>
      <c r="W49" s="402">
        <v>4575879</v>
      </c>
      <c r="X49" s="402">
        <v>4115313</v>
      </c>
      <c r="Y49" s="402">
        <v>3216687</v>
      </c>
      <c r="Z49" s="402">
        <v>2920138</v>
      </c>
      <c r="AA49" s="402">
        <v>43949422.390000001</v>
      </c>
    </row>
    <row r="50" spans="4:27" ht="15" customHeight="1" x14ac:dyDescent="0.4">
      <c r="F50" s="323"/>
      <c r="G50" s="323"/>
      <c r="J50" s="400" t="s">
        <v>336</v>
      </c>
      <c r="K50" s="401" t="s">
        <v>367</v>
      </c>
      <c r="L50" s="402" t="s">
        <v>368</v>
      </c>
      <c r="M50" s="402">
        <v>83281501.409999996</v>
      </c>
      <c r="N50" s="402">
        <v>0</v>
      </c>
      <c r="O50" s="402">
        <v>0</v>
      </c>
      <c r="P50" s="402">
        <v>0</v>
      </c>
      <c r="Q50" s="402">
        <v>6.94</v>
      </c>
      <c r="R50" s="402">
        <v>7864225.8700000001</v>
      </c>
      <c r="S50" s="402">
        <v>8458331.25</v>
      </c>
      <c r="T50" s="402">
        <v>9678170.4499999993</v>
      </c>
      <c r="U50" s="402">
        <v>11411541.449999999</v>
      </c>
      <c r="V50" s="402">
        <v>10627081.49</v>
      </c>
      <c r="W50" s="402">
        <v>10875407.869999999</v>
      </c>
      <c r="X50" s="402">
        <v>9780808.4399999995</v>
      </c>
      <c r="Y50" s="402">
        <v>7645368.6399999997</v>
      </c>
      <c r="Z50" s="402">
        <v>6940559.0099999998</v>
      </c>
      <c r="AA50" s="402">
        <v>83281501.409999996</v>
      </c>
    </row>
    <row r="51" spans="4:27" ht="15" customHeight="1" x14ac:dyDescent="0.4">
      <c r="F51" s="323"/>
      <c r="G51" s="323"/>
      <c r="J51" s="392" t="s">
        <v>336</v>
      </c>
      <c r="K51" s="399" t="s">
        <v>369</v>
      </c>
      <c r="L51" s="392" t="s">
        <v>370</v>
      </c>
      <c r="M51" s="393">
        <v>790067339.44000006</v>
      </c>
      <c r="N51" s="393">
        <v>857163146.63</v>
      </c>
      <c r="O51" s="393">
        <v>57784597.939999998</v>
      </c>
      <c r="P51" s="393">
        <v>54710052.590000004</v>
      </c>
      <c r="Q51" s="393">
        <v>57456625.420000002</v>
      </c>
      <c r="R51" s="393">
        <v>64341785.060000002</v>
      </c>
      <c r="S51" s="393">
        <v>66877923.200000003</v>
      </c>
      <c r="T51" s="393">
        <v>70318248.379999995</v>
      </c>
      <c r="U51" s="393">
        <v>76664382.090000004</v>
      </c>
      <c r="V51" s="393">
        <v>72793512.909999996</v>
      </c>
      <c r="W51" s="393">
        <v>73495419.730000004</v>
      </c>
      <c r="X51" s="393">
        <v>70576423.040000007</v>
      </c>
      <c r="Y51" s="393">
        <v>64243674.75</v>
      </c>
      <c r="Z51" s="393">
        <v>60804694.329999998</v>
      </c>
      <c r="AA51" s="393">
        <v>790067339.44000006</v>
      </c>
    </row>
    <row r="52" spans="4:27" ht="15" customHeight="1" x14ac:dyDescent="0.4">
      <c r="D52" s="324" t="s">
        <v>360</v>
      </c>
      <c r="G52" s="323"/>
      <c r="J52" s="392" t="s">
        <v>336</v>
      </c>
      <c r="K52" s="403" t="s">
        <v>371</v>
      </c>
      <c r="L52" s="392" t="s">
        <v>372</v>
      </c>
      <c r="M52" s="393">
        <v>111632250.04000001</v>
      </c>
      <c r="N52" s="393">
        <v>0</v>
      </c>
      <c r="O52" s="393">
        <v>13824259.310000001</v>
      </c>
      <c r="P52" s="393">
        <v>13270165.08</v>
      </c>
      <c r="Q52" s="393">
        <v>13946331.41</v>
      </c>
      <c r="R52" s="393">
        <v>16106780.49</v>
      </c>
      <c r="S52" s="393">
        <v>16797809.59</v>
      </c>
      <c r="T52" s="393">
        <v>18093679.329999998</v>
      </c>
      <c r="U52" s="393">
        <v>19593224.829999998</v>
      </c>
      <c r="V52" s="393">
        <v>0</v>
      </c>
      <c r="W52" s="393">
        <v>0</v>
      </c>
      <c r="X52" s="393">
        <v>0</v>
      </c>
      <c r="Y52" s="393">
        <v>0</v>
      </c>
      <c r="Z52" s="393">
        <v>0</v>
      </c>
      <c r="AA52" s="393">
        <v>111632250.04000001</v>
      </c>
    </row>
    <row r="53" spans="4:27" ht="15" customHeight="1" x14ac:dyDescent="0.4">
      <c r="F53" s="323"/>
      <c r="G53" s="323"/>
      <c r="J53" s="400" t="s">
        <v>336</v>
      </c>
      <c r="K53" s="404" t="s">
        <v>373</v>
      </c>
      <c r="L53" s="402" t="s">
        <v>374</v>
      </c>
      <c r="M53" s="402">
        <v>70274484.560000002</v>
      </c>
      <c r="N53" s="402">
        <v>0</v>
      </c>
      <c r="O53" s="402">
        <v>9298428.3399999999</v>
      </c>
      <c r="P53" s="402">
        <v>8997502.6600000001</v>
      </c>
      <c r="Q53" s="402">
        <v>9329658.1600000001</v>
      </c>
      <c r="R53" s="402">
        <v>9906910.0199999996</v>
      </c>
      <c r="S53" s="402">
        <v>10244843.17</v>
      </c>
      <c r="T53" s="402">
        <v>10891981.59</v>
      </c>
      <c r="U53" s="402">
        <v>11605160.619999999</v>
      </c>
      <c r="V53" s="402">
        <v>0</v>
      </c>
      <c r="W53" s="402">
        <v>0</v>
      </c>
      <c r="X53" s="402">
        <v>0</v>
      </c>
      <c r="Y53" s="402">
        <v>0</v>
      </c>
      <c r="Z53" s="402">
        <v>0</v>
      </c>
      <c r="AA53" s="402">
        <v>70274484.560000002</v>
      </c>
    </row>
    <row r="54" spans="4:27" ht="15" customHeight="1" x14ac:dyDescent="0.4">
      <c r="F54" s="323"/>
      <c r="G54" s="323"/>
      <c r="J54" s="400" t="s">
        <v>336</v>
      </c>
      <c r="K54" s="404" t="s">
        <v>375</v>
      </c>
      <c r="L54" s="402" t="s">
        <v>376</v>
      </c>
      <c r="M54" s="402">
        <v>26709441.52</v>
      </c>
      <c r="N54" s="402">
        <v>0</v>
      </c>
      <c r="O54" s="402">
        <v>3141694.56</v>
      </c>
      <c r="P54" s="402">
        <v>2964171.14</v>
      </c>
      <c r="Q54" s="402">
        <v>3210113.68</v>
      </c>
      <c r="R54" s="402">
        <v>3850528.45</v>
      </c>
      <c r="S54" s="402">
        <v>4074969.44</v>
      </c>
      <c r="T54" s="402">
        <v>4488007.0599999996</v>
      </c>
      <c r="U54" s="402">
        <v>4979957.1900000004</v>
      </c>
      <c r="V54" s="402">
        <v>0</v>
      </c>
      <c r="W54" s="402">
        <v>0</v>
      </c>
      <c r="X54" s="402">
        <v>0</v>
      </c>
      <c r="Y54" s="402">
        <v>0</v>
      </c>
      <c r="Z54" s="402">
        <v>0</v>
      </c>
      <c r="AA54" s="402">
        <v>26709441.52</v>
      </c>
    </row>
    <row r="55" spans="4:27" ht="15" customHeight="1" x14ac:dyDescent="0.4">
      <c r="F55" s="323"/>
      <c r="G55" s="323"/>
      <c r="J55" s="400" t="s">
        <v>336</v>
      </c>
      <c r="K55" s="404" t="s">
        <v>377</v>
      </c>
      <c r="L55" s="402" t="s">
        <v>378</v>
      </c>
      <c r="M55" s="402">
        <v>-84825.91</v>
      </c>
      <c r="N55" s="402">
        <v>0</v>
      </c>
      <c r="O55" s="402">
        <v>-10423.620000000001</v>
      </c>
      <c r="P55" s="402">
        <v>-9811.86</v>
      </c>
      <c r="Q55" s="402">
        <v>-10668.22</v>
      </c>
      <c r="R55" s="402">
        <v>-11898.65</v>
      </c>
      <c r="S55" s="402">
        <v>-12570.43</v>
      </c>
      <c r="T55" s="402">
        <v>-13887.42</v>
      </c>
      <c r="U55" s="402">
        <v>-15565.71</v>
      </c>
      <c r="V55" s="402"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-84825.91</v>
      </c>
    </row>
    <row r="56" spans="4:27" ht="15" customHeight="1" x14ac:dyDescent="0.4">
      <c r="F56" s="323"/>
      <c r="G56" s="323"/>
      <c r="J56" s="400" t="s">
        <v>336</v>
      </c>
      <c r="K56" s="404" t="s">
        <v>379</v>
      </c>
      <c r="L56" s="402" t="s">
        <v>380</v>
      </c>
      <c r="M56" s="402">
        <v>1438379.03</v>
      </c>
      <c r="N56" s="402">
        <v>0</v>
      </c>
      <c r="O56" s="402">
        <v>178102.39999999999</v>
      </c>
      <c r="P56" s="402">
        <v>167981.93</v>
      </c>
      <c r="Q56" s="402">
        <v>181991.34</v>
      </c>
      <c r="R56" s="402">
        <v>201443.72</v>
      </c>
      <c r="S56" s="402">
        <v>213221.15</v>
      </c>
      <c r="T56" s="402">
        <v>234911.49</v>
      </c>
      <c r="U56" s="402">
        <v>260727</v>
      </c>
      <c r="V56" s="402">
        <v>0</v>
      </c>
      <c r="W56" s="402">
        <v>0</v>
      </c>
      <c r="X56" s="402">
        <v>0</v>
      </c>
      <c r="Y56" s="402">
        <v>0</v>
      </c>
      <c r="Z56" s="402">
        <v>0</v>
      </c>
      <c r="AA56" s="402">
        <v>1438379.03</v>
      </c>
    </row>
    <row r="57" spans="4:27" ht="15" customHeight="1" x14ac:dyDescent="0.4">
      <c r="F57" s="323"/>
      <c r="G57" s="323"/>
      <c r="J57" s="400" t="s">
        <v>336</v>
      </c>
      <c r="K57" s="404" t="s">
        <v>381</v>
      </c>
      <c r="L57" s="402" t="s">
        <v>382</v>
      </c>
      <c r="M57" s="402">
        <v>465788.52</v>
      </c>
      <c r="N57" s="402">
        <v>0</v>
      </c>
      <c r="O57" s="402">
        <v>57562.42</v>
      </c>
      <c r="P57" s="402">
        <v>54262.8</v>
      </c>
      <c r="Q57" s="402">
        <v>58770.99</v>
      </c>
      <c r="R57" s="402">
        <v>65204.160000000003</v>
      </c>
      <c r="S57" s="402">
        <v>69127.600000000006</v>
      </c>
      <c r="T57" s="402">
        <v>76252.94</v>
      </c>
      <c r="U57" s="402">
        <v>84607.61</v>
      </c>
      <c r="V57" s="402">
        <v>0</v>
      </c>
      <c r="W57" s="402">
        <v>0</v>
      </c>
      <c r="X57" s="402">
        <v>0</v>
      </c>
      <c r="Y57" s="402">
        <v>0</v>
      </c>
      <c r="Z57" s="402">
        <v>0</v>
      </c>
      <c r="AA57" s="402">
        <v>465788.52</v>
      </c>
    </row>
    <row r="58" spans="4:27" ht="15" customHeight="1" x14ac:dyDescent="0.4">
      <c r="F58" s="323"/>
      <c r="G58" s="323"/>
      <c r="J58" s="400" t="s">
        <v>336</v>
      </c>
      <c r="K58" s="404" t="s">
        <v>383</v>
      </c>
      <c r="L58" s="402" t="s">
        <v>384</v>
      </c>
      <c r="M58" s="402">
        <v>2685739.32</v>
      </c>
      <c r="N58" s="402">
        <v>0</v>
      </c>
      <c r="O58" s="402">
        <v>327823.95</v>
      </c>
      <c r="P58" s="402">
        <v>311228.48</v>
      </c>
      <c r="Q58" s="402">
        <v>331875.96000000002</v>
      </c>
      <c r="R58" s="402">
        <v>389844.1</v>
      </c>
      <c r="S58" s="402">
        <v>407387.76</v>
      </c>
      <c r="T58" s="402">
        <v>435091.5</v>
      </c>
      <c r="U58" s="402">
        <v>482487.57</v>
      </c>
      <c r="V58" s="402">
        <v>0</v>
      </c>
      <c r="W58" s="402">
        <v>0</v>
      </c>
      <c r="X58" s="402">
        <v>0</v>
      </c>
      <c r="Y58" s="402">
        <v>0</v>
      </c>
      <c r="Z58" s="402">
        <v>0</v>
      </c>
      <c r="AA58" s="402">
        <v>2685739.32</v>
      </c>
    </row>
    <row r="59" spans="4:27" ht="15" customHeight="1" x14ac:dyDescent="0.4">
      <c r="F59" s="323"/>
      <c r="J59" s="400" t="s">
        <v>336</v>
      </c>
      <c r="K59" s="404" t="s">
        <v>385</v>
      </c>
      <c r="L59" s="402" t="s">
        <v>386</v>
      </c>
      <c r="M59" s="402">
        <v>2197100.7000000002</v>
      </c>
      <c r="N59" s="402">
        <v>0</v>
      </c>
      <c r="O59" s="402">
        <v>263598.34999999998</v>
      </c>
      <c r="P59" s="402">
        <v>247809.98</v>
      </c>
      <c r="Q59" s="402">
        <v>265410.11</v>
      </c>
      <c r="R59" s="402">
        <v>318146.55</v>
      </c>
      <c r="S59" s="402">
        <v>334311.02</v>
      </c>
      <c r="T59" s="402">
        <v>365939.87</v>
      </c>
      <c r="U59" s="402">
        <v>401884.82</v>
      </c>
      <c r="V59" s="402">
        <v>0</v>
      </c>
      <c r="W59" s="402">
        <v>0</v>
      </c>
      <c r="X59" s="402">
        <v>0</v>
      </c>
      <c r="Y59" s="402">
        <v>0</v>
      </c>
      <c r="Z59" s="402">
        <v>0</v>
      </c>
      <c r="AA59" s="402">
        <v>2197100.7000000002</v>
      </c>
    </row>
    <row r="60" spans="4:27" ht="15" customHeight="1" x14ac:dyDescent="0.25">
      <c r="J60" s="400" t="s">
        <v>336</v>
      </c>
      <c r="K60" s="404" t="s">
        <v>387</v>
      </c>
      <c r="L60" s="402" t="s">
        <v>388</v>
      </c>
      <c r="M60" s="402">
        <v>2417412.86</v>
      </c>
      <c r="N60" s="402">
        <v>0</v>
      </c>
      <c r="O60" s="402">
        <v>306227.89</v>
      </c>
      <c r="P60" s="402">
        <v>291502.94</v>
      </c>
      <c r="Q60" s="402">
        <v>311676.33</v>
      </c>
      <c r="R60" s="402">
        <v>339009.67</v>
      </c>
      <c r="S60" s="402">
        <v>356195.14</v>
      </c>
      <c r="T60" s="402">
        <v>387558.25</v>
      </c>
      <c r="U60" s="402">
        <v>425242.64</v>
      </c>
      <c r="V60" s="402">
        <v>0</v>
      </c>
      <c r="W60" s="402">
        <v>0</v>
      </c>
      <c r="X60" s="402">
        <v>0</v>
      </c>
      <c r="Y60" s="402">
        <v>0</v>
      </c>
      <c r="Z60" s="402">
        <v>0</v>
      </c>
      <c r="AA60" s="402">
        <v>2417412.86</v>
      </c>
    </row>
    <row r="61" spans="4:27" ht="15" customHeight="1" x14ac:dyDescent="0.25">
      <c r="J61" s="400" t="s">
        <v>336</v>
      </c>
      <c r="K61" s="404" t="s">
        <v>389</v>
      </c>
      <c r="L61" s="402" t="s">
        <v>390</v>
      </c>
      <c r="M61" s="402">
        <v>2128010.04</v>
      </c>
      <c r="N61" s="402">
        <v>0</v>
      </c>
      <c r="O61" s="402">
        <v>261245.02</v>
      </c>
      <c r="P61" s="402">
        <v>245517.01</v>
      </c>
      <c r="Q61" s="402">
        <v>267503.06</v>
      </c>
      <c r="R61" s="402">
        <v>297830.03999999998</v>
      </c>
      <c r="S61" s="402">
        <v>316131.32</v>
      </c>
      <c r="T61" s="402">
        <v>349904.56</v>
      </c>
      <c r="U61" s="402">
        <v>389879.03</v>
      </c>
      <c r="V61" s="402">
        <v>0</v>
      </c>
      <c r="W61" s="402">
        <v>0</v>
      </c>
      <c r="X61" s="402">
        <v>0</v>
      </c>
      <c r="Y61" s="402">
        <v>0</v>
      </c>
      <c r="Z61" s="402">
        <v>0</v>
      </c>
      <c r="AA61" s="402">
        <v>2128010.04</v>
      </c>
    </row>
    <row r="62" spans="4:27" ht="15" customHeight="1" x14ac:dyDescent="0.25">
      <c r="J62" s="400" t="s">
        <v>336</v>
      </c>
      <c r="K62" s="404" t="s">
        <v>391</v>
      </c>
      <c r="L62" s="402" t="s">
        <v>392</v>
      </c>
      <c r="M62" s="402">
        <v>3400719.4</v>
      </c>
      <c r="N62" s="402">
        <v>0</v>
      </c>
      <c r="O62" s="402">
        <v>0</v>
      </c>
      <c r="P62" s="402">
        <v>0</v>
      </c>
      <c r="Q62" s="402">
        <v>0</v>
      </c>
      <c r="R62" s="402">
        <v>749762.43</v>
      </c>
      <c r="S62" s="402">
        <v>794193.42</v>
      </c>
      <c r="T62" s="402">
        <v>877919.49</v>
      </c>
      <c r="U62" s="402">
        <v>978844.06</v>
      </c>
      <c r="V62" s="402">
        <v>0</v>
      </c>
      <c r="W62" s="402">
        <v>0</v>
      </c>
      <c r="X62" s="402">
        <v>0</v>
      </c>
      <c r="Y62" s="402">
        <v>0</v>
      </c>
      <c r="Z62" s="402">
        <v>0</v>
      </c>
      <c r="AA62" s="402">
        <v>3400719.4</v>
      </c>
    </row>
    <row r="63" spans="4:27" ht="15" customHeight="1" x14ac:dyDescent="0.2">
      <c r="J63" s="392" t="s">
        <v>336</v>
      </c>
      <c r="K63" s="403" t="s">
        <v>393</v>
      </c>
      <c r="L63" s="392" t="s">
        <v>394</v>
      </c>
      <c r="M63" s="393">
        <v>678435089.39999998</v>
      </c>
      <c r="N63" s="393">
        <v>857163146.63</v>
      </c>
      <c r="O63" s="393">
        <v>43960338.630000003</v>
      </c>
      <c r="P63" s="393">
        <v>41439887.509999998</v>
      </c>
      <c r="Q63" s="393">
        <v>43510294.009999998</v>
      </c>
      <c r="R63" s="393">
        <v>48235004.57</v>
      </c>
      <c r="S63" s="393">
        <v>50080113.609999999</v>
      </c>
      <c r="T63" s="393">
        <v>52224569.049999997</v>
      </c>
      <c r="U63" s="393">
        <v>57071157.259999998</v>
      </c>
      <c r="V63" s="393">
        <v>72793512.909999996</v>
      </c>
      <c r="W63" s="393">
        <v>73495419.730000004</v>
      </c>
      <c r="X63" s="393">
        <v>70576423.040000007</v>
      </c>
      <c r="Y63" s="393">
        <v>64243674.75</v>
      </c>
      <c r="Z63" s="393">
        <v>60804694.329999998</v>
      </c>
      <c r="AA63" s="393">
        <v>678435089.39999998</v>
      </c>
    </row>
    <row r="64" spans="4:27" ht="15" customHeight="1" x14ac:dyDescent="0.25">
      <c r="J64" s="400" t="s">
        <v>336</v>
      </c>
      <c r="K64" s="404" t="s">
        <v>395</v>
      </c>
      <c r="L64" s="402" t="s">
        <v>396</v>
      </c>
      <c r="M64" s="402">
        <v>289108619.94</v>
      </c>
      <c r="N64" s="402">
        <v>346671314</v>
      </c>
      <c r="O64" s="402">
        <v>18536285.09</v>
      </c>
      <c r="P64" s="402">
        <v>17783152.539999999</v>
      </c>
      <c r="Q64" s="402">
        <v>18435119.760000002</v>
      </c>
      <c r="R64" s="402">
        <v>19043248.920000002</v>
      </c>
      <c r="S64" s="402">
        <v>19536739.23</v>
      </c>
      <c r="T64" s="402">
        <v>20167206.129999999</v>
      </c>
      <c r="U64" s="402">
        <v>21624144.27</v>
      </c>
      <c r="V64" s="402">
        <v>32161391</v>
      </c>
      <c r="W64" s="402">
        <v>32441264</v>
      </c>
      <c r="X64" s="402">
        <v>31733728</v>
      </c>
      <c r="Y64" s="402">
        <v>29642734</v>
      </c>
      <c r="Z64" s="402">
        <v>28003607</v>
      </c>
      <c r="AA64" s="402">
        <v>289108619.94</v>
      </c>
    </row>
    <row r="65" spans="10:27" ht="15" customHeight="1" x14ac:dyDescent="0.25">
      <c r="J65" s="400" t="s">
        <v>336</v>
      </c>
      <c r="K65" s="404" t="s">
        <v>397</v>
      </c>
      <c r="L65" s="402" t="s">
        <v>398</v>
      </c>
      <c r="M65" s="402">
        <v>297436987.38</v>
      </c>
      <c r="N65" s="402">
        <v>418725637</v>
      </c>
      <c r="O65" s="402">
        <v>19969935.379999999</v>
      </c>
      <c r="P65" s="402">
        <v>18451363.969999999</v>
      </c>
      <c r="Q65" s="402">
        <v>19659411.73</v>
      </c>
      <c r="R65" s="402">
        <v>22433403.870000001</v>
      </c>
      <c r="S65" s="402">
        <v>23561874.129999999</v>
      </c>
      <c r="T65" s="402">
        <v>24802317.579999998</v>
      </c>
      <c r="U65" s="402">
        <v>27581461.719999999</v>
      </c>
      <c r="V65" s="402">
        <v>30600434</v>
      </c>
      <c r="W65" s="402">
        <v>30971994</v>
      </c>
      <c r="X65" s="402">
        <v>29140199</v>
      </c>
      <c r="Y65" s="402">
        <v>25886205</v>
      </c>
      <c r="Z65" s="402">
        <v>24378387</v>
      </c>
      <c r="AA65" s="402">
        <v>297436987.38</v>
      </c>
    </row>
    <row r="66" spans="10:27" ht="15" customHeight="1" x14ac:dyDescent="0.25">
      <c r="J66" s="400" t="s">
        <v>336</v>
      </c>
      <c r="K66" s="404" t="s">
        <v>399</v>
      </c>
      <c r="L66" s="402" t="s">
        <v>400</v>
      </c>
      <c r="M66" s="402">
        <v>-817510.11</v>
      </c>
      <c r="N66" s="402">
        <v>-880022</v>
      </c>
      <c r="O66" s="402">
        <v>-60339.95</v>
      </c>
      <c r="P66" s="402">
        <v>-59530.37</v>
      </c>
      <c r="Q66" s="402">
        <v>-61084.83</v>
      </c>
      <c r="R66" s="402">
        <v>-62731.82</v>
      </c>
      <c r="S66" s="402">
        <v>-63513.62</v>
      </c>
      <c r="T66" s="402">
        <v>-65472.3</v>
      </c>
      <c r="U66" s="402">
        <v>-69732.22</v>
      </c>
      <c r="V66" s="402">
        <v>-79184</v>
      </c>
      <c r="W66" s="402">
        <v>-78969</v>
      </c>
      <c r="X66" s="402">
        <v>-77691</v>
      </c>
      <c r="Y66" s="402">
        <v>-70039</v>
      </c>
      <c r="Z66" s="402">
        <v>-69222</v>
      </c>
      <c r="AA66" s="402">
        <v>-817510.11</v>
      </c>
    </row>
    <row r="67" spans="10:27" ht="15" customHeight="1" x14ac:dyDescent="0.25">
      <c r="J67" s="400" t="s">
        <v>336</v>
      </c>
      <c r="K67" s="404" t="s">
        <v>401</v>
      </c>
      <c r="L67" s="402" t="s">
        <v>402</v>
      </c>
      <c r="M67" s="402">
        <v>12237787.779999999</v>
      </c>
      <c r="N67" s="402">
        <v>13292996</v>
      </c>
      <c r="O67" s="402">
        <v>908485.31</v>
      </c>
      <c r="P67" s="402">
        <v>878456.48</v>
      </c>
      <c r="Q67" s="402">
        <v>904666.33</v>
      </c>
      <c r="R67" s="402">
        <v>928465.11</v>
      </c>
      <c r="S67" s="402">
        <v>944716.68</v>
      </c>
      <c r="T67" s="402">
        <v>970950.53</v>
      </c>
      <c r="U67" s="402">
        <v>1034713.34</v>
      </c>
      <c r="V67" s="402">
        <v>1196386</v>
      </c>
      <c r="W67" s="402">
        <v>1193634</v>
      </c>
      <c r="X67" s="402">
        <v>1173498</v>
      </c>
      <c r="Y67" s="402">
        <v>1058434</v>
      </c>
      <c r="Z67" s="402">
        <v>1045382</v>
      </c>
      <c r="AA67" s="402">
        <v>12237787.779999999</v>
      </c>
    </row>
    <row r="68" spans="10:27" ht="15" customHeight="1" x14ac:dyDescent="0.25">
      <c r="J68" s="400" t="s">
        <v>336</v>
      </c>
      <c r="K68" s="404" t="s">
        <v>403</v>
      </c>
      <c r="L68" s="402" t="s">
        <v>404</v>
      </c>
      <c r="M68" s="402">
        <v>4855314.62</v>
      </c>
      <c r="N68" s="402">
        <v>5208701</v>
      </c>
      <c r="O68" s="402">
        <v>348199.24</v>
      </c>
      <c r="P68" s="402">
        <v>320317.96000000002</v>
      </c>
      <c r="Q68" s="402">
        <v>341261.05</v>
      </c>
      <c r="R68" s="402">
        <v>358922.34</v>
      </c>
      <c r="S68" s="402">
        <v>376944.41</v>
      </c>
      <c r="T68" s="402">
        <v>396438.69</v>
      </c>
      <c r="U68" s="402">
        <v>440574.93</v>
      </c>
      <c r="V68" s="402">
        <v>493107</v>
      </c>
      <c r="W68" s="402">
        <v>499185</v>
      </c>
      <c r="X68" s="402">
        <v>469548</v>
      </c>
      <c r="Y68" s="402">
        <v>417342</v>
      </c>
      <c r="Z68" s="402">
        <v>393474</v>
      </c>
      <c r="AA68" s="402">
        <v>4855314.62</v>
      </c>
    </row>
    <row r="69" spans="10:27" ht="15" customHeight="1" x14ac:dyDescent="0.25">
      <c r="J69" s="400" t="s">
        <v>336</v>
      </c>
      <c r="K69" s="404" t="s">
        <v>405</v>
      </c>
      <c r="L69" s="402" t="s">
        <v>406</v>
      </c>
      <c r="M69" s="402">
        <v>20861500.300000001</v>
      </c>
      <c r="N69" s="402">
        <v>25222452.93</v>
      </c>
      <c r="O69" s="402">
        <v>1425200.58</v>
      </c>
      <c r="P69" s="402">
        <v>1352257.93</v>
      </c>
      <c r="Q69" s="402">
        <v>1415379.33</v>
      </c>
      <c r="R69" s="402">
        <v>1572435.94</v>
      </c>
      <c r="S69" s="402">
        <v>1636239.99</v>
      </c>
      <c r="T69" s="402">
        <v>1712028.16</v>
      </c>
      <c r="U69" s="402">
        <v>1859227.23</v>
      </c>
      <c r="V69" s="402">
        <v>2114771.7999999998</v>
      </c>
      <c r="W69" s="402">
        <v>2128787.77</v>
      </c>
      <c r="X69" s="402">
        <v>2040526.53</v>
      </c>
      <c r="Y69" s="402">
        <v>1836818.78</v>
      </c>
      <c r="Z69" s="402">
        <v>1767826.26</v>
      </c>
      <c r="AA69" s="402">
        <v>20861500.300000001</v>
      </c>
    </row>
    <row r="70" spans="10:27" ht="15" customHeight="1" x14ac:dyDescent="0.25">
      <c r="J70" s="400" t="s">
        <v>336</v>
      </c>
      <c r="K70" s="404" t="s">
        <v>407</v>
      </c>
      <c r="L70" s="402" t="s">
        <v>408</v>
      </c>
      <c r="M70" s="402">
        <v>16205116.130000001</v>
      </c>
      <c r="N70" s="402">
        <v>20719043.84</v>
      </c>
      <c r="O70" s="402">
        <v>1055456.46</v>
      </c>
      <c r="P70" s="402">
        <v>994223.89</v>
      </c>
      <c r="Q70" s="402">
        <v>1044270.71</v>
      </c>
      <c r="R70" s="402">
        <v>1158408.3500000001</v>
      </c>
      <c r="S70" s="402">
        <v>1202927.77</v>
      </c>
      <c r="T70" s="402">
        <v>1254648.3700000001</v>
      </c>
      <c r="U70" s="402">
        <v>1371934.01</v>
      </c>
      <c r="V70" s="402">
        <v>1737189.61</v>
      </c>
      <c r="W70" s="402">
        <v>1748710</v>
      </c>
      <c r="X70" s="402">
        <v>1676217.76</v>
      </c>
      <c r="Y70" s="402">
        <v>1508896.1</v>
      </c>
      <c r="Z70" s="402">
        <v>1452233.1</v>
      </c>
      <c r="AA70" s="402">
        <v>16205116.130000001</v>
      </c>
    </row>
    <row r="71" spans="10:27" ht="15" customHeight="1" x14ac:dyDescent="0.25">
      <c r="J71" s="400" t="s">
        <v>336</v>
      </c>
      <c r="K71" s="404" t="s">
        <v>409</v>
      </c>
      <c r="L71" s="402" t="s">
        <v>410</v>
      </c>
      <c r="M71" s="402">
        <v>76.09</v>
      </c>
      <c r="N71" s="402">
        <v>0</v>
      </c>
      <c r="O71" s="402">
        <v>76.09</v>
      </c>
      <c r="P71" s="402">
        <v>0</v>
      </c>
      <c r="Q71" s="402">
        <v>0</v>
      </c>
      <c r="R71" s="402">
        <v>0</v>
      </c>
      <c r="S71" s="402">
        <v>0</v>
      </c>
      <c r="T71" s="402">
        <v>0</v>
      </c>
      <c r="U71" s="402">
        <v>0</v>
      </c>
      <c r="V71" s="402">
        <v>0</v>
      </c>
      <c r="W71" s="402">
        <v>0</v>
      </c>
      <c r="X71" s="402">
        <v>0</v>
      </c>
      <c r="Y71" s="402">
        <v>0</v>
      </c>
      <c r="Z71" s="402">
        <v>0</v>
      </c>
      <c r="AA71" s="402">
        <v>76.09</v>
      </c>
    </row>
    <row r="72" spans="10:27" ht="15" customHeight="1" x14ac:dyDescent="0.25">
      <c r="J72" s="400" t="s">
        <v>336</v>
      </c>
      <c r="K72" s="404" t="s">
        <v>411</v>
      </c>
      <c r="L72" s="402" t="s">
        <v>412</v>
      </c>
      <c r="M72" s="402">
        <v>9416599.3499999996</v>
      </c>
      <c r="N72" s="402">
        <v>11363594.859999999</v>
      </c>
      <c r="O72" s="402">
        <v>633341.1</v>
      </c>
      <c r="P72" s="402">
        <v>612797.92000000004</v>
      </c>
      <c r="Q72" s="402">
        <v>631218.43000000005</v>
      </c>
      <c r="R72" s="402">
        <v>647691.19999999995</v>
      </c>
      <c r="S72" s="402">
        <v>659088.89</v>
      </c>
      <c r="T72" s="402">
        <v>676843.45</v>
      </c>
      <c r="U72" s="402">
        <v>720348.96</v>
      </c>
      <c r="V72" s="402">
        <v>1021374.02</v>
      </c>
      <c r="W72" s="402">
        <v>1021304.08</v>
      </c>
      <c r="X72" s="402">
        <v>999265.99</v>
      </c>
      <c r="Y72" s="402">
        <v>904100.91</v>
      </c>
      <c r="Z72" s="402">
        <v>889224.4</v>
      </c>
      <c r="AA72" s="402">
        <v>9416599.3499999996</v>
      </c>
    </row>
    <row r="73" spans="10:27" ht="15" customHeight="1" x14ac:dyDescent="0.25">
      <c r="J73" s="400" t="s">
        <v>336</v>
      </c>
      <c r="K73" s="404" t="s">
        <v>413</v>
      </c>
      <c r="L73" s="402" t="s">
        <v>414</v>
      </c>
      <c r="M73" s="402">
        <v>15636863.380000001</v>
      </c>
      <c r="N73" s="402">
        <v>16839429</v>
      </c>
      <c r="O73" s="402">
        <v>1143699.33</v>
      </c>
      <c r="P73" s="402">
        <v>1106847.19</v>
      </c>
      <c r="Q73" s="402">
        <v>1140051.5</v>
      </c>
      <c r="R73" s="402">
        <v>1169666.81</v>
      </c>
      <c r="S73" s="402">
        <v>1190292.1200000001</v>
      </c>
      <c r="T73" s="402">
        <v>1221994.3999999999</v>
      </c>
      <c r="U73" s="402">
        <v>1299828.03</v>
      </c>
      <c r="V73" s="402">
        <v>1557050</v>
      </c>
      <c r="W73" s="402">
        <v>1553991</v>
      </c>
      <c r="X73" s="402">
        <v>1525130</v>
      </c>
      <c r="Y73" s="402">
        <v>1373744</v>
      </c>
      <c r="Z73" s="402">
        <v>1354569</v>
      </c>
      <c r="AA73" s="402">
        <v>15636863.380000001</v>
      </c>
    </row>
    <row r="74" spans="10:27" ht="15" customHeight="1" x14ac:dyDescent="0.25">
      <c r="J74" s="400" t="s">
        <v>336</v>
      </c>
      <c r="K74" s="404" t="s">
        <v>415</v>
      </c>
      <c r="L74" s="402" t="s">
        <v>416</v>
      </c>
      <c r="M74" s="402">
        <v>13493734.539999999</v>
      </c>
      <c r="N74" s="402">
        <v>0</v>
      </c>
      <c r="O74" s="402">
        <v>0</v>
      </c>
      <c r="P74" s="402">
        <v>0</v>
      </c>
      <c r="Q74" s="402">
        <v>0</v>
      </c>
      <c r="R74" s="402">
        <v>985493.85</v>
      </c>
      <c r="S74" s="402">
        <v>1034804.01</v>
      </c>
      <c r="T74" s="402">
        <v>1087614.04</v>
      </c>
      <c r="U74" s="402">
        <v>1208656.99</v>
      </c>
      <c r="V74" s="402">
        <v>1990993.48</v>
      </c>
      <c r="W74" s="402">
        <v>2015518.88</v>
      </c>
      <c r="X74" s="402">
        <v>1896000.76</v>
      </c>
      <c r="Y74" s="402">
        <v>1685438.96</v>
      </c>
      <c r="Z74" s="402">
        <v>1589213.57</v>
      </c>
      <c r="AA74" s="402">
        <v>13493734.539999999</v>
      </c>
    </row>
    <row r="75" spans="10:27" ht="15" customHeight="1" x14ac:dyDescent="0.2">
      <c r="J75" s="392" t="s">
        <v>336</v>
      </c>
      <c r="K75" s="399" t="s">
        <v>417</v>
      </c>
      <c r="L75" s="392" t="s">
        <v>418</v>
      </c>
      <c r="M75" s="393">
        <v>196635279.09999999</v>
      </c>
      <c r="N75" s="393">
        <v>213586139.31</v>
      </c>
      <c r="O75" s="393">
        <v>14529130.66</v>
      </c>
      <c r="P75" s="393">
        <v>15997611.16</v>
      </c>
      <c r="Q75" s="393">
        <v>15895285.640000001</v>
      </c>
      <c r="R75" s="393">
        <v>16344491.77</v>
      </c>
      <c r="S75" s="393">
        <v>17407068.91</v>
      </c>
      <c r="T75" s="393">
        <v>15760931.789999999</v>
      </c>
      <c r="U75" s="393">
        <v>18907017.649999999</v>
      </c>
      <c r="V75" s="393">
        <v>16741325.470000001</v>
      </c>
      <c r="W75" s="393">
        <v>16640622.32</v>
      </c>
      <c r="X75" s="393">
        <v>16637588.699999999</v>
      </c>
      <c r="Y75" s="393">
        <v>16003726.369999999</v>
      </c>
      <c r="Z75" s="393">
        <v>15770478.66</v>
      </c>
      <c r="AA75" s="393">
        <v>196635279.09999999</v>
      </c>
    </row>
    <row r="76" spans="10:27" ht="15" customHeight="1" x14ac:dyDescent="0.2">
      <c r="J76" s="392" t="s">
        <v>336</v>
      </c>
      <c r="K76" s="403" t="s">
        <v>419</v>
      </c>
      <c r="L76" s="392" t="s">
        <v>420</v>
      </c>
      <c r="M76" s="393">
        <v>70294646.120000005</v>
      </c>
      <c r="N76" s="393">
        <v>64481375.810000002</v>
      </c>
      <c r="O76" s="393">
        <v>6944587.04</v>
      </c>
      <c r="P76" s="393">
        <v>5020564.2300000004</v>
      </c>
      <c r="Q76" s="393">
        <v>6329778.7699999996</v>
      </c>
      <c r="R76" s="393">
        <v>6062003.7300000004</v>
      </c>
      <c r="S76" s="393">
        <v>6695474.71</v>
      </c>
      <c r="T76" s="393">
        <v>6681126.3200000003</v>
      </c>
      <c r="U76" s="393">
        <v>6736561.5800000001</v>
      </c>
      <c r="V76" s="393">
        <v>5103849.53</v>
      </c>
      <c r="W76" s="393">
        <v>5075887.3600000003</v>
      </c>
      <c r="X76" s="393">
        <v>5298389.9400000004</v>
      </c>
      <c r="Y76" s="393">
        <v>5213057.3600000003</v>
      </c>
      <c r="Z76" s="393">
        <v>5133365.55</v>
      </c>
      <c r="AA76" s="393">
        <v>70294646.120000005</v>
      </c>
    </row>
    <row r="77" spans="10:27" ht="15" customHeight="1" x14ac:dyDescent="0.2">
      <c r="J77" s="392" t="s">
        <v>336</v>
      </c>
      <c r="K77" s="405" t="s">
        <v>421</v>
      </c>
      <c r="L77" s="392" t="s">
        <v>422</v>
      </c>
      <c r="M77" s="393">
        <v>2717.79</v>
      </c>
      <c r="N77" s="393">
        <v>0</v>
      </c>
      <c r="O77" s="393">
        <v>383.49</v>
      </c>
      <c r="P77" s="393">
        <v>383.49</v>
      </c>
      <c r="Q77" s="393">
        <v>383.49</v>
      </c>
      <c r="R77" s="393">
        <v>391.83</v>
      </c>
      <c r="S77" s="393">
        <v>391.83</v>
      </c>
      <c r="T77" s="393">
        <v>391.83</v>
      </c>
      <c r="U77" s="393">
        <v>391.83</v>
      </c>
      <c r="V77" s="393">
        <v>0</v>
      </c>
      <c r="W77" s="393">
        <v>0</v>
      </c>
      <c r="X77" s="393">
        <v>0</v>
      </c>
      <c r="Y77" s="393">
        <v>0</v>
      </c>
      <c r="Z77" s="393">
        <v>0</v>
      </c>
      <c r="AA77" s="393">
        <v>2717.79</v>
      </c>
    </row>
    <row r="78" spans="10:27" ht="15" customHeight="1" x14ac:dyDescent="0.25">
      <c r="J78" s="400" t="s">
        <v>336</v>
      </c>
      <c r="K78" s="406" t="s">
        <v>423</v>
      </c>
      <c r="L78" s="402" t="s">
        <v>424</v>
      </c>
      <c r="M78" s="402">
        <v>2150.4</v>
      </c>
      <c r="N78" s="402">
        <v>0</v>
      </c>
      <c r="O78" s="402">
        <v>307.2</v>
      </c>
      <c r="P78" s="402">
        <v>307.2</v>
      </c>
      <c r="Q78" s="402">
        <v>307.2</v>
      </c>
      <c r="R78" s="402">
        <v>307.2</v>
      </c>
      <c r="S78" s="402">
        <v>307.2</v>
      </c>
      <c r="T78" s="402">
        <v>307.2</v>
      </c>
      <c r="U78" s="402">
        <v>307.2</v>
      </c>
      <c r="V78" s="402">
        <v>0</v>
      </c>
      <c r="W78" s="402">
        <v>0</v>
      </c>
      <c r="X78" s="402">
        <v>0</v>
      </c>
      <c r="Y78" s="402">
        <v>0</v>
      </c>
      <c r="Z78" s="402">
        <v>0</v>
      </c>
      <c r="AA78" s="402">
        <v>2150.4</v>
      </c>
    </row>
    <row r="79" spans="10:27" ht="15" customHeight="1" x14ac:dyDescent="0.25">
      <c r="J79" s="400" t="s">
        <v>336</v>
      </c>
      <c r="K79" s="406" t="s">
        <v>425</v>
      </c>
      <c r="L79" s="402" t="s">
        <v>426</v>
      </c>
      <c r="M79" s="402">
        <v>390.36</v>
      </c>
      <c r="N79" s="402">
        <v>0</v>
      </c>
      <c r="O79" s="402">
        <v>53.2</v>
      </c>
      <c r="P79" s="402">
        <v>53.2</v>
      </c>
      <c r="Q79" s="402">
        <v>53.2</v>
      </c>
      <c r="R79" s="402">
        <v>57.69</v>
      </c>
      <c r="S79" s="402">
        <v>57.69</v>
      </c>
      <c r="T79" s="402">
        <v>57.69</v>
      </c>
      <c r="U79" s="402">
        <v>57.69</v>
      </c>
      <c r="V79" s="402">
        <v>0</v>
      </c>
      <c r="W79" s="402">
        <v>0</v>
      </c>
      <c r="X79" s="402">
        <v>0</v>
      </c>
      <c r="Y79" s="402">
        <v>0</v>
      </c>
      <c r="Z79" s="402">
        <v>0</v>
      </c>
      <c r="AA79" s="402">
        <v>390.36</v>
      </c>
    </row>
    <row r="80" spans="10:27" ht="15" customHeight="1" x14ac:dyDescent="0.25">
      <c r="J80" s="400" t="s">
        <v>336</v>
      </c>
      <c r="K80" s="406" t="s">
        <v>427</v>
      </c>
      <c r="L80" s="402" t="s">
        <v>428</v>
      </c>
      <c r="M80" s="402">
        <v>-0.21</v>
      </c>
      <c r="N80" s="402">
        <v>0</v>
      </c>
      <c r="O80" s="402">
        <v>-0.03</v>
      </c>
      <c r="P80" s="402">
        <v>-0.03</v>
      </c>
      <c r="Q80" s="402">
        <v>-0.03</v>
      </c>
      <c r="R80" s="402">
        <v>-0.03</v>
      </c>
      <c r="S80" s="402">
        <v>-0.03</v>
      </c>
      <c r="T80" s="402">
        <v>-0.03</v>
      </c>
      <c r="U80" s="402">
        <v>-0.03</v>
      </c>
      <c r="V80" s="402">
        <v>0</v>
      </c>
      <c r="W80" s="402">
        <v>0</v>
      </c>
      <c r="X80" s="402">
        <v>0</v>
      </c>
      <c r="Y80" s="402">
        <v>0</v>
      </c>
      <c r="Z80" s="402">
        <v>0</v>
      </c>
      <c r="AA80" s="402">
        <v>-0.21</v>
      </c>
    </row>
    <row r="81" spans="10:27" ht="15" customHeight="1" x14ac:dyDescent="0.25">
      <c r="J81" s="400" t="s">
        <v>336</v>
      </c>
      <c r="K81" s="406" t="s">
        <v>429</v>
      </c>
      <c r="L81" s="402" t="s">
        <v>430</v>
      </c>
      <c r="M81" s="402">
        <v>19.739999999999998</v>
      </c>
      <c r="N81" s="402">
        <v>0</v>
      </c>
      <c r="O81" s="402">
        <v>2.82</v>
      </c>
      <c r="P81" s="402">
        <v>2.82</v>
      </c>
      <c r="Q81" s="402">
        <v>2.82</v>
      </c>
      <c r="R81" s="402">
        <v>2.82</v>
      </c>
      <c r="S81" s="402">
        <v>2.82</v>
      </c>
      <c r="T81" s="402">
        <v>2.82</v>
      </c>
      <c r="U81" s="402">
        <v>2.82</v>
      </c>
      <c r="V81" s="402">
        <v>0</v>
      </c>
      <c r="W81" s="402">
        <v>0</v>
      </c>
      <c r="X81" s="402">
        <v>0</v>
      </c>
      <c r="Y81" s="402">
        <v>0</v>
      </c>
      <c r="Z81" s="402">
        <v>0</v>
      </c>
      <c r="AA81" s="402">
        <v>19.739999999999998</v>
      </c>
    </row>
    <row r="82" spans="10:27" ht="15" customHeight="1" x14ac:dyDescent="0.25">
      <c r="J82" s="400" t="s">
        <v>336</v>
      </c>
      <c r="K82" s="406" t="s">
        <v>431</v>
      </c>
      <c r="L82" s="402" t="s">
        <v>432</v>
      </c>
      <c r="M82" s="402">
        <v>5.18</v>
      </c>
      <c r="N82" s="402">
        <v>0</v>
      </c>
      <c r="O82" s="402">
        <v>0.74</v>
      </c>
      <c r="P82" s="402">
        <v>0.74</v>
      </c>
      <c r="Q82" s="402">
        <v>0.74</v>
      </c>
      <c r="R82" s="402">
        <v>0.74</v>
      </c>
      <c r="S82" s="402">
        <v>0.74</v>
      </c>
      <c r="T82" s="402">
        <v>0.74</v>
      </c>
      <c r="U82" s="402">
        <v>0.74</v>
      </c>
      <c r="V82" s="402">
        <v>0</v>
      </c>
      <c r="W82" s="402">
        <v>0</v>
      </c>
      <c r="X82" s="402">
        <v>0</v>
      </c>
      <c r="Y82" s="402">
        <v>0</v>
      </c>
      <c r="Z82" s="402">
        <v>0</v>
      </c>
      <c r="AA82" s="402">
        <v>5.18</v>
      </c>
    </row>
    <row r="83" spans="10:27" ht="15" customHeight="1" x14ac:dyDescent="0.25">
      <c r="J83" s="400" t="s">
        <v>336</v>
      </c>
      <c r="K83" s="406" t="s">
        <v>433</v>
      </c>
      <c r="L83" s="402" t="s">
        <v>434</v>
      </c>
      <c r="M83" s="402">
        <v>20.440000000000001</v>
      </c>
      <c r="N83" s="402">
        <v>0</v>
      </c>
      <c r="O83" s="402">
        <v>2.8</v>
      </c>
      <c r="P83" s="402">
        <v>2.8</v>
      </c>
      <c r="Q83" s="402">
        <v>2.8</v>
      </c>
      <c r="R83" s="402">
        <v>3.01</v>
      </c>
      <c r="S83" s="402">
        <v>3.01</v>
      </c>
      <c r="T83" s="402">
        <v>3.01</v>
      </c>
      <c r="U83" s="402">
        <v>3.01</v>
      </c>
      <c r="V83" s="402">
        <v>0</v>
      </c>
      <c r="W83" s="402">
        <v>0</v>
      </c>
      <c r="X83" s="402">
        <v>0</v>
      </c>
      <c r="Y83" s="402">
        <v>0</v>
      </c>
      <c r="Z83" s="402">
        <v>0</v>
      </c>
      <c r="AA83" s="402">
        <v>20.440000000000001</v>
      </c>
    </row>
    <row r="84" spans="10:27" ht="15" customHeight="1" x14ac:dyDescent="0.25">
      <c r="J84" s="400" t="s">
        <v>336</v>
      </c>
      <c r="K84" s="406" t="s">
        <v>435</v>
      </c>
      <c r="L84" s="402" t="s">
        <v>436</v>
      </c>
      <c r="M84" s="402">
        <v>114.52</v>
      </c>
      <c r="N84" s="402">
        <v>0</v>
      </c>
      <c r="O84" s="402">
        <v>16.36</v>
      </c>
      <c r="P84" s="402">
        <v>16.36</v>
      </c>
      <c r="Q84" s="402">
        <v>16.36</v>
      </c>
      <c r="R84" s="402">
        <v>16.36</v>
      </c>
      <c r="S84" s="402">
        <v>16.36</v>
      </c>
      <c r="T84" s="402">
        <v>16.36</v>
      </c>
      <c r="U84" s="402">
        <v>16.36</v>
      </c>
      <c r="V84" s="402">
        <v>0</v>
      </c>
      <c r="W84" s="402">
        <v>0</v>
      </c>
      <c r="X84" s="402">
        <v>0</v>
      </c>
      <c r="Y84" s="402">
        <v>0</v>
      </c>
      <c r="Z84" s="402">
        <v>0</v>
      </c>
      <c r="AA84" s="402">
        <v>114.52</v>
      </c>
    </row>
    <row r="85" spans="10:27" ht="15" customHeight="1" x14ac:dyDescent="0.25">
      <c r="J85" s="400" t="s">
        <v>336</v>
      </c>
      <c r="K85" s="406" t="s">
        <v>437</v>
      </c>
      <c r="L85" s="402" t="s">
        <v>438</v>
      </c>
      <c r="M85" s="402">
        <v>2.8</v>
      </c>
      <c r="N85" s="402">
        <v>0</v>
      </c>
      <c r="O85" s="402">
        <v>0.4</v>
      </c>
      <c r="P85" s="402">
        <v>0.4</v>
      </c>
      <c r="Q85" s="402">
        <v>0.4</v>
      </c>
      <c r="R85" s="402">
        <v>0.4</v>
      </c>
      <c r="S85" s="402">
        <v>0.4</v>
      </c>
      <c r="T85" s="402">
        <v>0.4</v>
      </c>
      <c r="U85" s="402">
        <v>0.4</v>
      </c>
      <c r="V85" s="402">
        <v>0</v>
      </c>
      <c r="W85" s="402">
        <v>0</v>
      </c>
      <c r="X85" s="402">
        <v>0</v>
      </c>
      <c r="Y85" s="402">
        <v>0</v>
      </c>
      <c r="Z85" s="402">
        <v>0</v>
      </c>
      <c r="AA85" s="402">
        <v>2.8</v>
      </c>
    </row>
    <row r="86" spans="10:27" ht="15" customHeight="1" x14ac:dyDescent="0.25">
      <c r="J86" s="400" t="s">
        <v>336</v>
      </c>
      <c r="K86" s="406" t="s">
        <v>439</v>
      </c>
      <c r="L86" s="402" t="s">
        <v>440</v>
      </c>
      <c r="M86" s="402">
        <v>14.56</v>
      </c>
      <c r="N86" s="402">
        <v>0</v>
      </c>
      <c r="O86" s="402">
        <v>0</v>
      </c>
      <c r="P86" s="402">
        <v>0</v>
      </c>
      <c r="Q86" s="402">
        <v>0</v>
      </c>
      <c r="R86" s="402">
        <v>3.64</v>
      </c>
      <c r="S86" s="402">
        <v>3.64</v>
      </c>
      <c r="T86" s="402">
        <v>3.64</v>
      </c>
      <c r="U86" s="402">
        <v>3.64</v>
      </c>
      <c r="V86" s="402">
        <v>0</v>
      </c>
      <c r="W86" s="402">
        <v>0</v>
      </c>
      <c r="X86" s="402">
        <v>0</v>
      </c>
      <c r="Y86" s="402">
        <v>0</v>
      </c>
      <c r="Z86" s="402">
        <v>0</v>
      </c>
      <c r="AA86" s="402">
        <v>14.56</v>
      </c>
    </row>
    <row r="87" spans="10:27" ht="15" customHeight="1" x14ac:dyDescent="0.2">
      <c r="J87" s="392" t="s">
        <v>336</v>
      </c>
      <c r="K87" s="405" t="s">
        <v>441</v>
      </c>
      <c r="L87" s="392" t="s">
        <v>442</v>
      </c>
      <c r="M87" s="393">
        <v>70291928.329999998</v>
      </c>
      <c r="N87" s="393">
        <v>64481375.810000002</v>
      </c>
      <c r="O87" s="393">
        <v>6944203.5499999998</v>
      </c>
      <c r="P87" s="393">
        <v>5020180.74</v>
      </c>
      <c r="Q87" s="393">
        <v>6329395.2800000003</v>
      </c>
      <c r="R87" s="393">
        <v>6061611.9000000004</v>
      </c>
      <c r="S87" s="393">
        <v>6695082.8799999999</v>
      </c>
      <c r="T87" s="393">
        <v>6680734.4900000002</v>
      </c>
      <c r="U87" s="393">
        <v>6736169.75</v>
      </c>
      <c r="V87" s="393">
        <v>5103849.53</v>
      </c>
      <c r="W87" s="393">
        <v>5075887.3600000003</v>
      </c>
      <c r="X87" s="393">
        <v>5298389.9400000004</v>
      </c>
      <c r="Y87" s="393">
        <v>5213057.3600000003</v>
      </c>
      <c r="Z87" s="393">
        <v>5133365.55</v>
      </c>
      <c r="AA87" s="393">
        <v>70291928.329999998</v>
      </c>
    </row>
    <row r="88" spans="10:27" ht="15" customHeight="1" x14ac:dyDescent="0.25">
      <c r="J88" s="400" t="s">
        <v>336</v>
      </c>
      <c r="K88" s="406" t="s">
        <v>443</v>
      </c>
      <c r="L88" s="402" t="s">
        <v>444</v>
      </c>
      <c r="M88" s="402">
        <v>27906660.120000001</v>
      </c>
      <c r="N88" s="402">
        <v>21157084</v>
      </c>
      <c r="O88" s="402">
        <v>2611198.33</v>
      </c>
      <c r="P88" s="402">
        <v>2082431.9</v>
      </c>
      <c r="Q88" s="402">
        <v>2430538.44</v>
      </c>
      <c r="R88" s="402">
        <v>2170564.0099999998</v>
      </c>
      <c r="S88" s="402">
        <v>2379748.2599999998</v>
      </c>
      <c r="T88" s="402">
        <v>2419769.63</v>
      </c>
      <c r="U88" s="402">
        <v>2356329.5499999998</v>
      </c>
      <c r="V88" s="402">
        <v>2201230</v>
      </c>
      <c r="W88" s="402">
        <v>2256671</v>
      </c>
      <c r="X88" s="402">
        <v>2378746</v>
      </c>
      <c r="Y88" s="402">
        <v>2386322</v>
      </c>
      <c r="Z88" s="402">
        <v>2233111</v>
      </c>
      <c r="AA88" s="402">
        <v>27906660.120000001</v>
      </c>
    </row>
    <row r="89" spans="10:27" ht="15" customHeight="1" x14ac:dyDescent="0.25">
      <c r="J89" s="400" t="s">
        <v>336</v>
      </c>
      <c r="K89" s="406" t="s">
        <v>445</v>
      </c>
      <c r="L89" s="402" t="s">
        <v>446</v>
      </c>
      <c r="M89" s="402">
        <v>38080505.439999998</v>
      </c>
      <c r="N89" s="402">
        <v>39700106</v>
      </c>
      <c r="O89" s="402">
        <v>3897005.35</v>
      </c>
      <c r="P89" s="402">
        <v>2582450.16</v>
      </c>
      <c r="Q89" s="402">
        <v>3493862.93</v>
      </c>
      <c r="R89" s="402">
        <v>3485241.48</v>
      </c>
      <c r="S89" s="402">
        <v>3880027.93</v>
      </c>
      <c r="T89" s="402">
        <v>3823348.91</v>
      </c>
      <c r="U89" s="402">
        <v>3950015.68</v>
      </c>
      <c r="V89" s="402">
        <v>2629837</v>
      </c>
      <c r="W89" s="402">
        <v>2542525</v>
      </c>
      <c r="X89" s="402">
        <v>2631631</v>
      </c>
      <c r="Y89" s="402">
        <v>2539283</v>
      </c>
      <c r="Z89" s="402">
        <v>2625277</v>
      </c>
      <c r="AA89" s="402">
        <v>38080505.439999998</v>
      </c>
    </row>
    <row r="90" spans="10:27" ht="15" customHeight="1" x14ac:dyDescent="0.25">
      <c r="J90" s="400" t="s">
        <v>336</v>
      </c>
      <c r="K90" s="406" t="s">
        <v>447</v>
      </c>
      <c r="L90" s="402" t="s">
        <v>448</v>
      </c>
      <c r="M90" s="402">
        <v>-69055.33</v>
      </c>
      <c r="N90" s="402">
        <v>-57567</v>
      </c>
      <c r="O90" s="402">
        <v>-6892.7</v>
      </c>
      <c r="P90" s="402">
        <v>-6035.45</v>
      </c>
      <c r="Q90" s="402">
        <v>-6429.79</v>
      </c>
      <c r="R90" s="402">
        <v>-6204.06</v>
      </c>
      <c r="S90" s="402">
        <v>-6556.83</v>
      </c>
      <c r="T90" s="402">
        <v>-6718.61</v>
      </c>
      <c r="U90" s="402">
        <v>-6172.89</v>
      </c>
      <c r="V90" s="402">
        <v>-4664</v>
      </c>
      <c r="W90" s="402">
        <v>-4747</v>
      </c>
      <c r="X90" s="402">
        <v>-4982</v>
      </c>
      <c r="Y90" s="402">
        <v>-5030</v>
      </c>
      <c r="Z90" s="402">
        <v>-4622</v>
      </c>
      <c r="AA90" s="402">
        <v>-69055.33</v>
      </c>
    </row>
    <row r="91" spans="10:27" ht="15" customHeight="1" x14ac:dyDescent="0.25">
      <c r="J91" s="400" t="s">
        <v>336</v>
      </c>
      <c r="K91" s="406" t="s">
        <v>449</v>
      </c>
      <c r="L91" s="402" t="s">
        <v>450</v>
      </c>
      <c r="M91" s="402">
        <v>1274277.1499999999</v>
      </c>
      <c r="N91" s="402">
        <v>1062737</v>
      </c>
      <c r="O91" s="402">
        <v>127142.67</v>
      </c>
      <c r="P91" s="402">
        <v>111355.64</v>
      </c>
      <c r="Q91" s="402">
        <v>118673.99</v>
      </c>
      <c r="R91" s="402">
        <v>114450.4</v>
      </c>
      <c r="S91" s="402">
        <v>120968.39</v>
      </c>
      <c r="T91" s="402">
        <v>123926.6</v>
      </c>
      <c r="U91" s="402">
        <v>113851.46</v>
      </c>
      <c r="V91" s="402">
        <v>86103</v>
      </c>
      <c r="W91" s="402">
        <v>87639</v>
      </c>
      <c r="X91" s="402">
        <v>91983</v>
      </c>
      <c r="Y91" s="402">
        <v>92858</v>
      </c>
      <c r="Z91" s="402">
        <v>85325</v>
      </c>
      <c r="AA91" s="402">
        <v>1274277.1499999999</v>
      </c>
    </row>
    <row r="92" spans="10:27" ht="15" customHeight="1" x14ac:dyDescent="0.25">
      <c r="J92" s="400" t="s">
        <v>336</v>
      </c>
      <c r="K92" s="406" t="s">
        <v>451</v>
      </c>
      <c r="L92" s="402" t="s">
        <v>452</v>
      </c>
      <c r="M92" s="402">
        <v>492251.16</v>
      </c>
      <c r="N92" s="402">
        <v>263852</v>
      </c>
      <c r="O92" s="402">
        <v>62229.67</v>
      </c>
      <c r="P92" s="402">
        <v>41249.33</v>
      </c>
      <c r="Q92" s="402">
        <v>55734.53</v>
      </c>
      <c r="R92" s="402">
        <v>51249.66</v>
      </c>
      <c r="S92" s="402">
        <v>57016.86</v>
      </c>
      <c r="T92" s="402">
        <v>56030.59</v>
      </c>
      <c r="U92" s="402">
        <v>58139.519999999997</v>
      </c>
      <c r="V92" s="402">
        <v>22409</v>
      </c>
      <c r="W92" s="402">
        <v>21687</v>
      </c>
      <c r="X92" s="402">
        <v>22409</v>
      </c>
      <c r="Y92" s="402">
        <v>21687</v>
      </c>
      <c r="Z92" s="402">
        <v>22409</v>
      </c>
      <c r="AA92" s="402">
        <v>492251.16</v>
      </c>
    </row>
    <row r="93" spans="10:27" ht="15" customHeight="1" x14ac:dyDescent="0.25">
      <c r="J93" s="400" t="s">
        <v>336</v>
      </c>
      <c r="K93" s="406" t="s">
        <v>453</v>
      </c>
      <c r="L93" s="402" t="s">
        <v>454</v>
      </c>
      <c r="M93" s="402">
        <v>1455982.49</v>
      </c>
      <c r="N93" s="402">
        <v>1612032.83</v>
      </c>
      <c r="O93" s="402">
        <v>136592.06</v>
      </c>
      <c r="P93" s="402">
        <v>97203.68</v>
      </c>
      <c r="Q93" s="402">
        <v>124280.77</v>
      </c>
      <c r="R93" s="402">
        <v>119294.59</v>
      </c>
      <c r="S93" s="402">
        <v>132430.67000000001</v>
      </c>
      <c r="T93" s="402">
        <v>130887.02</v>
      </c>
      <c r="U93" s="402">
        <v>133779.98000000001</v>
      </c>
      <c r="V93" s="402">
        <v>115309.73</v>
      </c>
      <c r="W93" s="402">
        <v>114283.45</v>
      </c>
      <c r="X93" s="402">
        <v>119119.39</v>
      </c>
      <c r="Y93" s="402">
        <v>116940.19</v>
      </c>
      <c r="Z93" s="402">
        <v>115860.96</v>
      </c>
      <c r="AA93" s="402">
        <v>1455982.49</v>
      </c>
    </row>
    <row r="94" spans="10:27" ht="15" customHeight="1" x14ac:dyDescent="0.25">
      <c r="J94" s="400" t="s">
        <v>336</v>
      </c>
      <c r="K94" s="406" t="s">
        <v>455</v>
      </c>
      <c r="L94" s="402" t="s">
        <v>456</v>
      </c>
      <c r="M94" s="402">
        <v>252.08</v>
      </c>
      <c r="N94" s="402">
        <v>0</v>
      </c>
      <c r="O94" s="402">
        <v>252.08</v>
      </c>
      <c r="P94" s="402">
        <v>0</v>
      </c>
      <c r="Q94" s="402">
        <v>0</v>
      </c>
      <c r="R94" s="402">
        <v>0</v>
      </c>
      <c r="S94" s="402">
        <v>0</v>
      </c>
      <c r="T94" s="402">
        <v>0</v>
      </c>
      <c r="U94" s="402">
        <v>0</v>
      </c>
      <c r="V94" s="402">
        <v>0</v>
      </c>
      <c r="W94" s="402">
        <v>0</v>
      </c>
      <c r="X94" s="402">
        <v>0</v>
      </c>
      <c r="Y94" s="402">
        <v>0</v>
      </c>
      <c r="Z94" s="402">
        <v>0</v>
      </c>
      <c r="AA94" s="402">
        <v>252.08</v>
      </c>
    </row>
    <row r="95" spans="10:27" ht="15" customHeight="1" x14ac:dyDescent="0.25">
      <c r="J95" s="400" t="s">
        <v>336</v>
      </c>
      <c r="K95" s="406" t="s">
        <v>457</v>
      </c>
      <c r="L95" s="402" t="s">
        <v>458</v>
      </c>
      <c r="M95" s="402">
        <v>177656.24</v>
      </c>
      <c r="N95" s="402">
        <v>208391.98</v>
      </c>
      <c r="O95" s="402">
        <v>15361.45</v>
      </c>
      <c r="P95" s="402">
        <v>15197.45</v>
      </c>
      <c r="Q95" s="402">
        <v>14962.51</v>
      </c>
      <c r="R95" s="402">
        <v>13868.81</v>
      </c>
      <c r="S95" s="402">
        <v>14133.8</v>
      </c>
      <c r="T95" s="402">
        <v>14497.49</v>
      </c>
      <c r="U95" s="402">
        <v>14242.24</v>
      </c>
      <c r="V95" s="402">
        <v>12235.28</v>
      </c>
      <c r="W95" s="402">
        <v>15389.95</v>
      </c>
      <c r="X95" s="402">
        <v>15849.01</v>
      </c>
      <c r="Y95" s="402">
        <v>17165.22</v>
      </c>
      <c r="Z95" s="402">
        <v>14753.03</v>
      </c>
      <c r="AA95" s="402">
        <v>177656.24</v>
      </c>
    </row>
    <row r="96" spans="10:27" ht="15" customHeight="1" x14ac:dyDescent="0.25">
      <c r="J96" s="400" t="s">
        <v>336</v>
      </c>
      <c r="K96" s="406" t="s">
        <v>459</v>
      </c>
      <c r="L96" s="402" t="s">
        <v>460</v>
      </c>
      <c r="M96" s="402">
        <v>843056.04</v>
      </c>
      <c r="N96" s="402">
        <v>534739</v>
      </c>
      <c r="O96" s="402">
        <v>101314.64</v>
      </c>
      <c r="P96" s="402">
        <v>96328.03</v>
      </c>
      <c r="Q96" s="402">
        <v>97771.9</v>
      </c>
      <c r="R96" s="402">
        <v>93468.93</v>
      </c>
      <c r="S96" s="402">
        <v>95413.15</v>
      </c>
      <c r="T96" s="402">
        <v>97255.63</v>
      </c>
      <c r="U96" s="402">
        <v>93581.759999999995</v>
      </c>
      <c r="V96" s="402">
        <v>32348</v>
      </c>
      <c r="W96" s="402">
        <v>33689</v>
      </c>
      <c r="X96" s="402">
        <v>34593</v>
      </c>
      <c r="Y96" s="402">
        <v>35082</v>
      </c>
      <c r="Z96" s="402">
        <v>32210</v>
      </c>
      <c r="AA96" s="402">
        <v>843056.04</v>
      </c>
    </row>
    <row r="97" spans="10:27" ht="15" customHeight="1" x14ac:dyDescent="0.25">
      <c r="J97" s="400" t="s">
        <v>336</v>
      </c>
      <c r="K97" s="406" t="s">
        <v>461</v>
      </c>
      <c r="L97" s="402" t="s">
        <v>462</v>
      </c>
      <c r="M97" s="402">
        <v>130342.94</v>
      </c>
      <c r="N97" s="402">
        <v>0</v>
      </c>
      <c r="O97" s="402">
        <v>0</v>
      </c>
      <c r="P97" s="402">
        <v>0</v>
      </c>
      <c r="Q97" s="402">
        <v>0</v>
      </c>
      <c r="R97" s="402">
        <v>19678.080000000002</v>
      </c>
      <c r="S97" s="402">
        <v>21900.65</v>
      </c>
      <c r="T97" s="402">
        <v>21737.23</v>
      </c>
      <c r="U97" s="402">
        <v>22402.45</v>
      </c>
      <c r="V97" s="402">
        <v>9041.52</v>
      </c>
      <c r="W97" s="402">
        <v>8749.9599999999991</v>
      </c>
      <c r="X97" s="402">
        <v>9041.5400000000009</v>
      </c>
      <c r="Y97" s="402">
        <v>8749.9500000000007</v>
      </c>
      <c r="Z97" s="402">
        <v>9041.56</v>
      </c>
      <c r="AA97" s="402">
        <v>130342.94</v>
      </c>
    </row>
    <row r="98" spans="10:27" ht="15" customHeight="1" x14ac:dyDescent="0.2">
      <c r="J98" s="392" t="s">
        <v>336</v>
      </c>
      <c r="K98" s="403" t="s">
        <v>463</v>
      </c>
      <c r="L98" s="392" t="s">
        <v>464</v>
      </c>
      <c r="M98" s="393">
        <v>126340632.98</v>
      </c>
      <c r="N98" s="393">
        <v>149104763.5</v>
      </c>
      <c r="O98" s="393">
        <v>7584543.6200000001</v>
      </c>
      <c r="P98" s="393">
        <v>10977046.93</v>
      </c>
      <c r="Q98" s="393">
        <v>9565506.8699999992</v>
      </c>
      <c r="R98" s="393">
        <v>10282488.039999999</v>
      </c>
      <c r="S98" s="393">
        <v>10711594.199999999</v>
      </c>
      <c r="T98" s="393">
        <v>9079805.4700000007</v>
      </c>
      <c r="U98" s="393">
        <v>12170456.07</v>
      </c>
      <c r="V98" s="393">
        <v>11637475.939999999</v>
      </c>
      <c r="W98" s="393">
        <v>11564734.960000001</v>
      </c>
      <c r="X98" s="393">
        <v>11339198.76</v>
      </c>
      <c r="Y98" s="393">
        <v>10790669.01</v>
      </c>
      <c r="Z98" s="393">
        <v>10637113.109999999</v>
      </c>
      <c r="AA98" s="393">
        <v>126340632.98</v>
      </c>
    </row>
    <row r="99" spans="10:27" ht="15" customHeight="1" x14ac:dyDescent="0.2">
      <c r="J99" s="392" t="s">
        <v>336</v>
      </c>
      <c r="K99" s="405" t="s">
        <v>465</v>
      </c>
      <c r="L99" s="392" t="s">
        <v>466</v>
      </c>
      <c r="M99" s="393">
        <v>1749271.75</v>
      </c>
      <c r="N99" s="393">
        <v>0</v>
      </c>
      <c r="O99" s="393">
        <v>213476.74</v>
      </c>
      <c r="P99" s="393">
        <v>210946.77</v>
      </c>
      <c r="Q99" s="393">
        <v>219027</v>
      </c>
      <c r="R99" s="393">
        <v>252041.99</v>
      </c>
      <c r="S99" s="393">
        <v>268380.28000000003</v>
      </c>
      <c r="T99" s="393">
        <v>280021.34000000003</v>
      </c>
      <c r="U99" s="393">
        <v>305377.63</v>
      </c>
      <c r="V99" s="393">
        <v>0</v>
      </c>
      <c r="W99" s="393">
        <v>0</v>
      </c>
      <c r="X99" s="393">
        <v>0</v>
      </c>
      <c r="Y99" s="393">
        <v>0</v>
      </c>
      <c r="Z99" s="393">
        <v>0</v>
      </c>
      <c r="AA99" s="393">
        <v>1749271.75</v>
      </c>
    </row>
    <row r="100" spans="10:27" ht="15" customHeight="1" x14ac:dyDescent="0.25">
      <c r="J100" s="400" t="s">
        <v>336</v>
      </c>
      <c r="K100" s="406" t="s">
        <v>467</v>
      </c>
      <c r="L100" s="402" t="s">
        <v>468</v>
      </c>
      <c r="M100" s="402">
        <v>1047064.88</v>
      </c>
      <c r="N100" s="402">
        <v>0</v>
      </c>
      <c r="O100" s="402">
        <v>136637.07999999999</v>
      </c>
      <c r="P100" s="402">
        <v>135557.66</v>
      </c>
      <c r="Q100" s="402">
        <v>139170.42000000001</v>
      </c>
      <c r="R100" s="402">
        <v>147278.84</v>
      </c>
      <c r="S100" s="402">
        <v>155263.6</v>
      </c>
      <c r="T100" s="402">
        <v>160410.13</v>
      </c>
      <c r="U100" s="402">
        <v>172747.15</v>
      </c>
      <c r="V100" s="402">
        <v>0</v>
      </c>
      <c r="W100" s="402">
        <v>0</v>
      </c>
      <c r="X100" s="402">
        <v>0</v>
      </c>
      <c r="Y100" s="402">
        <v>0</v>
      </c>
      <c r="Z100" s="402">
        <v>0</v>
      </c>
      <c r="AA100" s="402">
        <v>1047064.88</v>
      </c>
    </row>
    <row r="101" spans="10:27" ht="15" customHeight="1" x14ac:dyDescent="0.25">
      <c r="J101" s="400" t="s">
        <v>336</v>
      </c>
      <c r="K101" s="406" t="s">
        <v>469</v>
      </c>
      <c r="L101" s="402" t="s">
        <v>470</v>
      </c>
      <c r="M101" s="402">
        <v>452568.97</v>
      </c>
      <c r="N101" s="402">
        <v>0</v>
      </c>
      <c r="O101" s="402">
        <v>53056.52</v>
      </c>
      <c r="P101" s="402">
        <v>52013.07</v>
      </c>
      <c r="Q101" s="402">
        <v>55162.13</v>
      </c>
      <c r="R101" s="402">
        <v>65051.65</v>
      </c>
      <c r="S101" s="402">
        <v>70276.600000000006</v>
      </c>
      <c r="T101" s="402">
        <v>74400.23</v>
      </c>
      <c r="U101" s="402">
        <v>82608.77</v>
      </c>
      <c r="V101" s="402">
        <v>0</v>
      </c>
      <c r="W101" s="402">
        <v>0</v>
      </c>
      <c r="X101" s="402">
        <v>0</v>
      </c>
      <c r="Y101" s="402">
        <v>0</v>
      </c>
      <c r="Z101" s="402">
        <v>0</v>
      </c>
      <c r="AA101" s="402">
        <v>452568.97</v>
      </c>
    </row>
    <row r="102" spans="10:27" ht="15" customHeight="1" x14ac:dyDescent="0.25">
      <c r="J102" s="400" t="s">
        <v>336</v>
      </c>
      <c r="K102" s="406" t="s">
        <v>471</v>
      </c>
      <c r="L102" s="402" t="s">
        <v>472</v>
      </c>
      <c r="M102" s="402">
        <v>-1358.63</v>
      </c>
      <c r="N102" s="402">
        <v>0</v>
      </c>
      <c r="O102" s="402">
        <v>-167.25</v>
      </c>
      <c r="P102" s="402">
        <v>-163.27000000000001</v>
      </c>
      <c r="Q102" s="402">
        <v>-174.5</v>
      </c>
      <c r="R102" s="402">
        <v>-191.66</v>
      </c>
      <c r="S102" s="402">
        <v>-194.04</v>
      </c>
      <c r="T102" s="402">
        <v>-222.52</v>
      </c>
      <c r="U102" s="402">
        <v>-245.39</v>
      </c>
      <c r="V102" s="402">
        <v>0</v>
      </c>
      <c r="W102" s="402">
        <v>0</v>
      </c>
      <c r="X102" s="402">
        <v>0</v>
      </c>
      <c r="Y102" s="402">
        <v>0</v>
      </c>
      <c r="Z102" s="402">
        <v>0</v>
      </c>
      <c r="AA102" s="402">
        <v>-1358.63</v>
      </c>
    </row>
    <row r="103" spans="10:27" ht="15" customHeight="1" x14ac:dyDescent="0.25">
      <c r="J103" s="400" t="s">
        <v>336</v>
      </c>
      <c r="K103" s="406" t="s">
        <v>473</v>
      </c>
      <c r="L103" s="402" t="s">
        <v>474</v>
      </c>
      <c r="M103" s="402">
        <v>24286.44</v>
      </c>
      <c r="N103" s="402">
        <v>0</v>
      </c>
      <c r="O103" s="402">
        <v>2994</v>
      </c>
      <c r="P103" s="402">
        <v>2934.18</v>
      </c>
      <c r="Q103" s="402">
        <v>3113.78</v>
      </c>
      <c r="R103" s="402">
        <v>3388.83</v>
      </c>
      <c r="S103" s="402">
        <v>3663.25</v>
      </c>
      <c r="T103" s="402">
        <v>3880.82</v>
      </c>
      <c r="U103" s="402">
        <v>4311.58</v>
      </c>
      <c r="V103" s="402">
        <v>0</v>
      </c>
      <c r="W103" s="402">
        <v>0</v>
      </c>
      <c r="X103" s="402">
        <v>0</v>
      </c>
      <c r="Y103" s="402">
        <v>0</v>
      </c>
      <c r="Z103" s="402">
        <v>0</v>
      </c>
      <c r="AA103" s="402">
        <v>24286.44</v>
      </c>
    </row>
    <row r="104" spans="10:27" ht="15" customHeight="1" x14ac:dyDescent="0.25">
      <c r="J104" s="400" t="s">
        <v>336</v>
      </c>
      <c r="K104" s="406" t="s">
        <v>475</v>
      </c>
      <c r="L104" s="402" t="s">
        <v>476</v>
      </c>
      <c r="M104" s="402">
        <v>7801.01</v>
      </c>
      <c r="N104" s="402">
        <v>0</v>
      </c>
      <c r="O104" s="402">
        <v>956.29</v>
      </c>
      <c r="P104" s="402">
        <v>935.86</v>
      </c>
      <c r="Q104" s="402">
        <v>995.35</v>
      </c>
      <c r="R104" s="402">
        <v>1085.31</v>
      </c>
      <c r="S104" s="402">
        <v>1189.49</v>
      </c>
      <c r="T104" s="402">
        <v>1247.23</v>
      </c>
      <c r="U104" s="402">
        <v>1391.48</v>
      </c>
      <c r="V104" s="402">
        <v>0</v>
      </c>
      <c r="W104" s="402">
        <v>0</v>
      </c>
      <c r="X104" s="402">
        <v>0</v>
      </c>
      <c r="Y104" s="402">
        <v>0</v>
      </c>
      <c r="Z104" s="402">
        <v>0</v>
      </c>
      <c r="AA104" s="402">
        <v>7801.01</v>
      </c>
    </row>
    <row r="105" spans="10:27" ht="15" customHeight="1" x14ac:dyDescent="0.25">
      <c r="J105" s="400" t="s">
        <v>336</v>
      </c>
      <c r="K105" s="406" t="s">
        <v>477</v>
      </c>
      <c r="L105" s="402" t="s">
        <v>478</v>
      </c>
      <c r="M105" s="402">
        <v>49191.9</v>
      </c>
      <c r="N105" s="402">
        <v>0</v>
      </c>
      <c r="O105" s="402">
        <v>5897.01</v>
      </c>
      <c r="P105" s="402">
        <v>5827.79</v>
      </c>
      <c r="Q105" s="402">
        <v>6176.35</v>
      </c>
      <c r="R105" s="402">
        <v>7060.44</v>
      </c>
      <c r="S105" s="402">
        <v>7726.54</v>
      </c>
      <c r="T105" s="402">
        <v>7880.67</v>
      </c>
      <c r="U105" s="402">
        <v>8623.1</v>
      </c>
      <c r="V105" s="402">
        <v>0</v>
      </c>
      <c r="W105" s="402">
        <v>0</v>
      </c>
      <c r="X105" s="402">
        <v>0</v>
      </c>
      <c r="Y105" s="402">
        <v>0</v>
      </c>
      <c r="Z105" s="402">
        <v>0</v>
      </c>
      <c r="AA105" s="402">
        <v>49191.9</v>
      </c>
    </row>
    <row r="106" spans="10:27" ht="15" customHeight="1" x14ac:dyDescent="0.25">
      <c r="J106" s="400" t="s">
        <v>336</v>
      </c>
      <c r="K106" s="406" t="s">
        <v>479</v>
      </c>
      <c r="L106" s="402" t="s">
        <v>480</v>
      </c>
      <c r="M106" s="402">
        <v>34481.39</v>
      </c>
      <c r="N106" s="402">
        <v>0</v>
      </c>
      <c r="O106" s="402">
        <v>4056.67</v>
      </c>
      <c r="P106" s="402">
        <v>3952.53</v>
      </c>
      <c r="Q106" s="402">
        <v>4175.5600000000004</v>
      </c>
      <c r="R106" s="402">
        <v>4974.68</v>
      </c>
      <c r="S106" s="402">
        <v>5357.7</v>
      </c>
      <c r="T106" s="402">
        <v>5680.07</v>
      </c>
      <c r="U106" s="402">
        <v>6284.18</v>
      </c>
      <c r="V106" s="402">
        <v>0</v>
      </c>
      <c r="W106" s="402">
        <v>0</v>
      </c>
      <c r="X106" s="402">
        <v>0</v>
      </c>
      <c r="Y106" s="402">
        <v>0</v>
      </c>
      <c r="Z106" s="402">
        <v>0</v>
      </c>
      <c r="AA106" s="402">
        <v>34481.39</v>
      </c>
    </row>
    <row r="107" spans="10:27" ht="15" customHeight="1" x14ac:dyDescent="0.25">
      <c r="J107" s="400" t="s">
        <v>336</v>
      </c>
      <c r="K107" s="406" t="s">
        <v>481</v>
      </c>
      <c r="L107" s="402" t="s">
        <v>482</v>
      </c>
      <c r="M107" s="402">
        <v>46122.39</v>
      </c>
      <c r="N107" s="402">
        <v>0</v>
      </c>
      <c r="O107" s="402">
        <v>5899.8</v>
      </c>
      <c r="P107" s="402">
        <v>5846.58</v>
      </c>
      <c r="Q107" s="402">
        <v>6075.54</v>
      </c>
      <c r="R107" s="402">
        <v>6476.69</v>
      </c>
      <c r="S107" s="402">
        <v>6892.52</v>
      </c>
      <c r="T107" s="402">
        <v>7142.35</v>
      </c>
      <c r="U107" s="402">
        <v>7788.91</v>
      </c>
      <c r="V107" s="402">
        <v>0</v>
      </c>
      <c r="W107" s="402">
        <v>0</v>
      </c>
      <c r="X107" s="402">
        <v>0</v>
      </c>
      <c r="Y107" s="402">
        <v>0</v>
      </c>
      <c r="Z107" s="402">
        <v>0</v>
      </c>
      <c r="AA107" s="402">
        <v>46122.39</v>
      </c>
    </row>
    <row r="108" spans="10:27" ht="15" customHeight="1" x14ac:dyDescent="0.25">
      <c r="J108" s="400" t="s">
        <v>336</v>
      </c>
      <c r="K108" s="406" t="s">
        <v>483</v>
      </c>
      <c r="L108" s="402" t="s">
        <v>484</v>
      </c>
      <c r="M108" s="402">
        <v>34218.28</v>
      </c>
      <c r="N108" s="402">
        <v>0</v>
      </c>
      <c r="O108" s="402">
        <v>4146.62</v>
      </c>
      <c r="P108" s="402">
        <v>4042.37</v>
      </c>
      <c r="Q108" s="402">
        <v>4332.37</v>
      </c>
      <c r="R108" s="402">
        <v>4758.99</v>
      </c>
      <c r="S108" s="402">
        <v>5193.8</v>
      </c>
      <c r="T108" s="402">
        <v>5539.24</v>
      </c>
      <c r="U108" s="402">
        <v>6204.89</v>
      </c>
      <c r="V108" s="402">
        <v>0</v>
      </c>
      <c r="W108" s="402">
        <v>0</v>
      </c>
      <c r="X108" s="402">
        <v>0</v>
      </c>
      <c r="Y108" s="402">
        <v>0</v>
      </c>
      <c r="Z108" s="402">
        <v>0</v>
      </c>
      <c r="AA108" s="402">
        <v>34218.28</v>
      </c>
    </row>
    <row r="109" spans="10:27" ht="15" customHeight="1" x14ac:dyDescent="0.25">
      <c r="J109" s="400" t="s">
        <v>336</v>
      </c>
      <c r="K109" s="406" t="s">
        <v>485</v>
      </c>
      <c r="L109" s="402" t="s">
        <v>486</v>
      </c>
      <c r="M109" s="402">
        <v>54895.12</v>
      </c>
      <c r="N109" s="402">
        <v>0</v>
      </c>
      <c r="O109" s="402">
        <v>0</v>
      </c>
      <c r="P109" s="402">
        <v>0</v>
      </c>
      <c r="Q109" s="402">
        <v>0</v>
      </c>
      <c r="R109" s="402">
        <v>12158.22</v>
      </c>
      <c r="S109" s="402">
        <v>13010.82</v>
      </c>
      <c r="T109" s="402">
        <v>14063.12</v>
      </c>
      <c r="U109" s="402">
        <v>15662.96</v>
      </c>
      <c r="V109" s="402">
        <v>0</v>
      </c>
      <c r="W109" s="402">
        <v>0</v>
      </c>
      <c r="X109" s="402">
        <v>0</v>
      </c>
      <c r="Y109" s="402">
        <v>0</v>
      </c>
      <c r="Z109" s="402">
        <v>0</v>
      </c>
      <c r="AA109" s="402">
        <v>54895.12</v>
      </c>
    </row>
    <row r="110" spans="10:27" ht="15" customHeight="1" x14ac:dyDescent="0.2">
      <c r="J110" s="392" t="s">
        <v>336</v>
      </c>
      <c r="K110" s="405" t="s">
        <v>487</v>
      </c>
      <c r="L110" s="392" t="s">
        <v>488</v>
      </c>
      <c r="M110" s="393">
        <v>124591361.23</v>
      </c>
      <c r="N110" s="393">
        <v>149104763.5</v>
      </c>
      <c r="O110" s="393">
        <v>7371066.8799999999</v>
      </c>
      <c r="P110" s="393">
        <v>10766100.16</v>
      </c>
      <c r="Q110" s="393">
        <v>9346479.8699999992</v>
      </c>
      <c r="R110" s="393">
        <v>10030446.050000001</v>
      </c>
      <c r="S110" s="393">
        <v>10443213.92</v>
      </c>
      <c r="T110" s="393">
        <v>8799784.1300000008</v>
      </c>
      <c r="U110" s="393">
        <v>11865078.439999999</v>
      </c>
      <c r="V110" s="393">
        <v>11637475.939999999</v>
      </c>
      <c r="W110" s="393">
        <v>11564734.960000001</v>
      </c>
      <c r="X110" s="393">
        <v>11339198.76</v>
      </c>
      <c r="Y110" s="393">
        <v>10790669.01</v>
      </c>
      <c r="Z110" s="393">
        <v>10637113.109999999</v>
      </c>
      <c r="AA110" s="393">
        <v>124591361.23</v>
      </c>
    </row>
    <row r="111" spans="10:27" ht="15" customHeight="1" x14ac:dyDescent="0.25">
      <c r="J111" s="400" t="s">
        <v>336</v>
      </c>
      <c r="K111" s="406" t="s">
        <v>489</v>
      </c>
      <c r="L111" s="402" t="s">
        <v>490</v>
      </c>
      <c r="M111" s="402">
        <v>47442189.369999997</v>
      </c>
      <c r="N111" s="402">
        <v>50290724</v>
      </c>
      <c r="O111" s="402">
        <v>2924719.71</v>
      </c>
      <c r="P111" s="402">
        <v>4202036.47</v>
      </c>
      <c r="Q111" s="402">
        <v>3665478.62</v>
      </c>
      <c r="R111" s="402">
        <v>3699037.03</v>
      </c>
      <c r="S111" s="402">
        <v>3797514.67</v>
      </c>
      <c r="T111" s="402">
        <v>3287876.26</v>
      </c>
      <c r="U111" s="402">
        <v>4237802.6100000003</v>
      </c>
      <c r="V111" s="402">
        <v>4461103</v>
      </c>
      <c r="W111" s="402">
        <v>4420982</v>
      </c>
      <c r="X111" s="402">
        <v>4413748</v>
      </c>
      <c r="Y111" s="402">
        <v>4213100</v>
      </c>
      <c r="Z111" s="402">
        <v>4118791</v>
      </c>
      <c r="AA111" s="402">
        <v>47442189.369999997</v>
      </c>
    </row>
    <row r="112" spans="10:27" ht="15" customHeight="1" x14ac:dyDescent="0.25">
      <c r="J112" s="400" t="s">
        <v>336</v>
      </c>
      <c r="K112" s="406" t="s">
        <v>491</v>
      </c>
      <c r="L112" s="402" t="s">
        <v>492</v>
      </c>
      <c r="M112" s="402">
        <v>60371199.600000001</v>
      </c>
      <c r="N112" s="402">
        <v>81836513</v>
      </c>
      <c r="O112" s="402">
        <v>3527411.41</v>
      </c>
      <c r="P112" s="402">
        <v>5231582.26</v>
      </c>
      <c r="Q112" s="402">
        <v>4532147.46</v>
      </c>
      <c r="R112" s="402">
        <v>4948167.3499999996</v>
      </c>
      <c r="S112" s="402">
        <v>5203238.6100000003</v>
      </c>
      <c r="T112" s="402">
        <v>4321653.01</v>
      </c>
      <c r="U112" s="402">
        <v>5971972.5</v>
      </c>
      <c r="V112" s="402">
        <v>5571547</v>
      </c>
      <c r="W112" s="402">
        <v>5545850</v>
      </c>
      <c r="X112" s="402">
        <v>5362084</v>
      </c>
      <c r="Y112" s="402">
        <v>5108378</v>
      </c>
      <c r="Z112" s="402">
        <v>5047168</v>
      </c>
      <c r="AA112" s="402">
        <v>60371199.600000001</v>
      </c>
    </row>
    <row r="113" spans="10:27" ht="15" customHeight="1" x14ac:dyDescent="0.25">
      <c r="J113" s="400" t="s">
        <v>336</v>
      </c>
      <c r="K113" s="406" t="s">
        <v>493</v>
      </c>
      <c r="L113" s="402" t="s">
        <v>494</v>
      </c>
      <c r="M113" s="402">
        <v>-146388.54999999999</v>
      </c>
      <c r="N113" s="402">
        <v>-155101</v>
      </c>
      <c r="O113" s="402">
        <v>-14294.32</v>
      </c>
      <c r="P113" s="402">
        <v>-8523.76</v>
      </c>
      <c r="Q113" s="402">
        <v>-11645.81</v>
      </c>
      <c r="R113" s="402">
        <v>-11796.55</v>
      </c>
      <c r="S113" s="402">
        <v>-11954.78</v>
      </c>
      <c r="T113" s="402">
        <v>-10278.36</v>
      </c>
      <c r="U113" s="402">
        <v>-13398.97</v>
      </c>
      <c r="V113" s="402">
        <v>-13385</v>
      </c>
      <c r="W113" s="402">
        <v>-13313</v>
      </c>
      <c r="X113" s="402">
        <v>-13209</v>
      </c>
      <c r="Y113" s="402">
        <v>-12196</v>
      </c>
      <c r="Z113" s="402">
        <v>-12393</v>
      </c>
      <c r="AA113" s="402">
        <v>-146388.54999999999</v>
      </c>
    </row>
    <row r="114" spans="10:27" ht="15" customHeight="1" x14ac:dyDescent="0.25">
      <c r="J114" s="400" t="s">
        <v>336</v>
      </c>
      <c r="K114" s="406" t="s">
        <v>495</v>
      </c>
      <c r="L114" s="402" t="s">
        <v>496</v>
      </c>
      <c r="M114" s="402">
        <v>2229459.94</v>
      </c>
      <c r="N114" s="402">
        <v>2370142</v>
      </c>
      <c r="O114" s="402">
        <v>143323.28</v>
      </c>
      <c r="P114" s="402">
        <v>203626.36</v>
      </c>
      <c r="Q114" s="402">
        <v>177134.63</v>
      </c>
      <c r="R114" s="402">
        <v>179363.28</v>
      </c>
      <c r="S114" s="402">
        <v>181499.32</v>
      </c>
      <c r="T114" s="402">
        <v>156864.85</v>
      </c>
      <c r="U114" s="402">
        <v>202837.22</v>
      </c>
      <c r="V114" s="402">
        <v>204465</v>
      </c>
      <c r="W114" s="402">
        <v>203025</v>
      </c>
      <c r="X114" s="402">
        <v>201802</v>
      </c>
      <c r="Y114" s="402">
        <v>186183</v>
      </c>
      <c r="Z114" s="402">
        <v>189336</v>
      </c>
      <c r="AA114" s="402">
        <v>2229459.94</v>
      </c>
    </row>
    <row r="115" spans="10:27" ht="15" customHeight="1" x14ac:dyDescent="0.25">
      <c r="J115" s="400" t="s">
        <v>336</v>
      </c>
      <c r="K115" s="406" t="s">
        <v>497</v>
      </c>
      <c r="L115" s="402" t="s">
        <v>498</v>
      </c>
      <c r="M115" s="402">
        <v>962082.48</v>
      </c>
      <c r="N115" s="402">
        <v>991618</v>
      </c>
      <c r="O115" s="402">
        <v>52042.34</v>
      </c>
      <c r="P115" s="402">
        <v>96930.26</v>
      </c>
      <c r="Q115" s="402">
        <v>77047.81</v>
      </c>
      <c r="R115" s="402">
        <v>77645.98</v>
      </c>
      <c r="S115" s="402">
        <v>81538.11</v>
      </c>
      <c r="T115" s="402">
        <v>67477.14</v>
      </c>
      <c r="U115" s="402">
        <v>93959.84</v>
      </c>
      <c r="V115" s="402">
        <v>86748</v>
      </c>
      <c r="W115" s="402">
        <v>86464</v>
      </c>
      <c r="X115" s="402">
        <v>83380</v>
      </c>
      <c r="Y115" s="402">
        <v>79599</v>
      </c>
      <c r="Z115" s="402">
        <v>79250</v>
      </c>
      <c r="AA115" s="402">
        <v>962082.48</v>
      </c>
    </row>
    <row r="116" spans="10:27" ht="15" customHeight="1" x14ac:dyDescent="0.25">
      <c r="J116" s="400" t="s">
        <v>336</v>
      </c>
      <c r="K116" s="406" t="s">
        <v>499</v>
      </c>
      <c r="L116" s="402" t="s">
        <v>500</v>
      </c>
      <c r="M116" s="402">
        <v>4788597.49</v>
      </c>
      <c r="N116" s="402">
        <v>5765715.7000000002</v>
      </c>
      <c r="O116" s="402">
        <v>287999.19</v>
      </c>
      <c r="P116" s="402">
        <v>420724.97</v>
      </c>
      <c r="Q116" s="402">
        <v>357941.98</v>
      </c>
      <c r="R116" s="402">
        <v>378908.15999999997</v>
      </c>
      <c r="S116" s="402">
        <v>408725.07</v>
      </c>
      <c r="T116" s="402">
        <v>317473.5</v>
      </c>
      <c r="U116" s="402">
        <v>482448.09</v>
      </c>
      <c r="V116" s="402">
        <v>445200.66</v>
      </c>
      <c r="W116" s="402">
        <v>441446.68</v>
      </c>
      <c r="X116" s="402">
        <v>432260.83</v>
      </c>
      <c r="Y116" s="402">
        <v>408317.82</v>
      </c>
      <c r="Z116" s="402">
        <v>407150.54</v>
      </c>
      <c r="AA116" s="402">
        <v>4788597.49</v>
      </c>
    </row>
    <row r="117" spans="10:27" ht="15" customHeight="1" x14ac:dyDescent="0.25">
      <c r="J117" s="400" t="s">
        <v>336</v>
      </c>
      <c r="K117" s="406" t="s">
        <v>501</v>
      </c>
      <c r="L117" s="402" t="s">
        <v>502</v>
      </c>
      <c r="M117" s="402">
        <v>2888004.04</v>
      </c>
      <c r="N117" s="402">
        <v>3566013.18</v>
      </c>
      <c r="O117" s="402">
        <v>177212.91</v>
      </c>
      <c r="P117" s="402">
        <v>236308.81</v>
      </c>
      <c r="Q117" s="402">
        <v>213140.64</v>
      </c>
      <c r="R117" s="402">
        <v>229573.16</v>
      </c>
      <c r="S117" s="402">
        <v>238792.42</v>
      </c>
      <c r="T117" s="402">
        <v>202181.42</v>
      </c>
      <c r="U117" s="402">
        <v>270713.14</v>
      </c>
      <c r="V117" s="402">
        <v>275350.28000000003</v>
      </c>
      <c r="W117" s="402">
        <v>273028.5</v>
      </c>
      <c r="X117" s="402">
        <v>267347.18</v>
      </c>
      <c r="Y117" s="402">
        <v>252538.76</v>
      </c>
      <c r="Z117" s="402">
        <v>251816.82</v>
      </c>
      <c r="AA117" s="402">
        <v>2888004.04</v>
      </c>
    </row>
    <row r="118" spans="10:27" ht="15" customHeight="1" x14ac:dyDescent="0.25">
      <c r="J118" s="400" t="s">
        <v>336</v>
      </c>
      <c r="K118" s="406" t="s">
        <v>503</v>
      </c>
      <c r="L118" s="402" t="s">
        <v>504</v>
      </c>
      <c r="M118" s="402">
        <v>104.88</v>
      </c>
      <c r="N118" s="402">
        <v>0</v>
      </c>
      <c r="O118" s="402">
        <v>-2840.74</v>
      </c>
      <c r="P118" s="402">
        <v>2945.62</v>
      </c>
      <c r="Q118" s="402">
        <v>0</v>
      </c>
      <c r="R118" s="402">
        <v>0</v>
      </c>
      <c r="S118" s="402">
        <v>0</v>
      </c>
      <c r="T118" s="402">
        <v>0</v>
      </c>
      <c r="U118" s="402">
        <v>0</v>
      </c>
      <c r="V118" s="402">
        <v>0</v>
      </c>
      <c r="W118" s="402">
        <v>0</v>
      </c>
      <c r="X118" s="402">
        <v>0</v>
      </c>
      <c r="Y118" s="402">
        <v>0</v>
      </c>
      <c r="Z118" s="402">
        <v>0</v>
      </c>
      <c r="AA118" s="402">
        <v>104.88</v>
      </c>
    </row>
    <row r="119" spans="10:27" ht="15" customHeight="1" x14ac:dyDescent="0.25">
      <c r="J119" s="400" t="s">
        <v>336</v>
      </c>
      <c r="K119" s="406" t="s">
        <v>505</v>
      </c>
      <c r="L119" s="402" t="s">
        <v>506</v>
      </c>
      <c r="M119" s="402">
        <v>1512796.32</v>
      </c>
      <c r="N119" s="402">
        <v>1659114.62</v>
      </c>
      <c r="O119" s="402">
        <v>96930.8</v>
      </c>
      <c r="P119" s="402">
        <v>135546.92000000001</v>
      </c>
      <c r="Q119" s="402">
        <v>118959.48</v>
      </c>
      <c r="R119" s="402">
        <v>120402.7</v>
      </c>
      <c r="S119" s="402">
        <v>121548.19</v>
      </c>
      <c r="T119" s="402">
        <v>103937.62</v>
      </c>
      <c r="U119" s="402">
        <v>136162.70000000001</v>
      </c>
      <c r="V119" s="402">
        <v>140153.97</v>
      </c>
      <c r="W119" s="402">
        <v>140760.62</v>
      </c>
      <c r="X119" s="402">
        <v>138543.59</v>
      </c>
      <c r="Y119" s="402">
        <v>128600.13</v>
      </c>
      <c r="Z119" s="402">
        <v>131249.60000000001</v>
      </c>
      <c r="AA119" s="402">
        <v>1512796.32</v>
      </c>
    </row>
    <row r="120" spans="10:27" ht="15" customHeight="1" x14ac:dyDescent="0.25">
      <c r="J120" s="400" t="s">
        <v>336</v>
      </c>
      <c r="K120" s="406" t="s">
        <v>507</v>
      </c>
      <c r="L120" s="402" t="s">
        <v>508</v>
      </c>
      <c r="M120" s="402">
        <v>2684921.31</v>
      </c>
      <c r="N120" s="402">
        <v>2780024</v>
      </c>
      <c r="O120" s="402">
        <v>178562.3</v>
      </c>
      <c r="P120" s="402">
        <v>244922.25</v>
      </c>
      <c r="Q120" s="402">
        <v>216275.06</v>
      </c>
      <c r="R120" s="402">
        <v>218962.38</v>
      </c>
      <c r="S120" s="402">
        <v>221640.88</v>
      </c>
      <c r="T120" s="402">
        <v>190215.79</v>
      </c>
      <c r="U120" s="402">
        <v>248197.65</v>
      </c>
      <c r="V120" s="402">
        <v>241634</v>
      </c>
      <c r="W120" s="402">
        <v>241517</v>
      </c>
      <c r="X120" s="402">
        <v>238307</v>
      </c>
      <c r="Y120" s="402">
        <v>220544</v>
      </c>
      <c r="Z120" s="402">
        <v>224143</v>
      </c>
      <c r="AA120" s="402">
        <v>2684921.31</v>
      </c>
    </row>
    <row r="121" spans="10:27" ht="15" customHeight="1" x14ac:dyDescent="0.25">
      <c r="J121" s="400" t="s">
        <v>336</v>
      </c>
      <c r="K121" s="406" t="s">
        <v>509</v>
      </c>
      <c r="L121" s="402" t="s">
        <v>510</v>
      </c>
      <c r="M121" s="402">
        <v>1858394.35</v>
      </c>
      <c r="N121" s="402">
        <v>0</v>
      </c>
      <c r="O121" s="402">
        <v>0</v>
      </c>
      <c r="P121" s="402">
        <v>0</v>
      </c>
      <c r="Q121" s="402">
        <v>0</v>
      </c>
      <c r="R121" s="402">
        <v>190182.56</v>
      </c>
      <c r="S121" s="402">
        <v>200671.43</v>
      </c>
      <c r="T121" s="402">
        <v>162382.9</v>
      </c>
      <c r="U121" s="402">
        <v>234383.66</v>
      </c>
      <c r="V121" s="402">
        <v>224659.03</v>
      </c>
      <c r="W121" s="402">
        <v>224974.16</v>
      </c>
      <c r="X121" s="402">
        <v>214935.16</v>
      </c>
      <c r="Y121" s="402">
        <v>205604.3</v>
      </c>
      <c r="Z121" s="402">
        <v>200601.15</v>
      </c>
      <c r="AA121" s="402">
        <v>1858394.35</v>
      </c>
    </row>
    <row r="122" spans="10:27" ht="15" customHeight="1" x14ac:dyDescent="0.2">
      <c r="J122" s="392" t="s">
        <v>336</v>
      </c>
      <c r="K122" s="399" t="s">
        <v>511</v>
      </c>
      <c r="L122" s="392" t="s">
        <v>512</v>
      </c>
      <c r="M122" s="393">
        <v>23514767.07</v>
      </c>
      <c r="N122" s="393">
        <v>0</v>
      </c>
      <c r="O122" s="393">
        <v>3338233.86</v>
      </c>
      <c r="P122" s="393">
        <v>3358317.5</v>
      </c>
      <c r="Q122" s="393">
        <v>3322801.69</v>
      </c>
      <c r="R122" s="393">
        <v>3389262.46</v>
      </c>
      <c r="S122" s="393">
        <v>3372625.47</v>
      </c>
      <c r="T122" s="393">
        <v>3361749.52</v>
      </c>
      <c r="U122" s="393">
        <v>3371776.57</v>
      </c>
      <c r="V122" s="393">
        <v>0</v>
      </c>
      <c r="W122" s="393">
        <v>0</v>
      </c>
      <c r="X122" s="393">
        <v>0</v>
      </c>
      <c r="Y122" s="393">
        <v>0</v>
      </c>
      <c r="Z122" s="393">
        <v>0</v>
      </c>
      <c r="AA122" s="393">
        <v>23514767.07</v>
      </c>
    </row>
    <row r="123" spans="10:27" ht="15" customHeight="1" x14ac:dyDescent="0.2">
      <c r="J123" s="392" t="s">
        <v>336</v>
      </c>
      <c r="K123" s="403" t="s">
        <v>513</v>
      </c>
      <c r="L123" s="392" t="s">
        <v>512</v>
      </c>
      <c r="M123" s="393">
        <v>23514767.07</v>
      </c>
      <c r="N123" s="393">
        <v>0</v>
      </c>
      <c r="O123" s="393">
        <v>3338233.86</v>
      </c>
      <c r="P123" s="393">
        <v>3358317.5</v>
      </c>
      <c r="Q123" s="393">
        <v>3322801.69</v>
      </c>
      <c r="R123" s="393">
        <v>3389262.46</v>
      </c>
      <c r="S123" s="393">
        <v>3372625.47</v>
      </c>
      <c r="T123" s="393">
        <v>3361749.52</v>
      </c>
      <c r="U123" s="393">
        <v>3371776.57</v>
      </c>
      <c r="V123" s="393">
        <v>0</v>
      </c>
      <c r="W123" s="393">
        <v>0</v>
      </c>
      <c r="X123" s="393">
        <v>0</v>
      </c>
      <c r="Y123" s="393">
        <v>0</v>
      </c>
      <c r="Z123" s="393">
        <v>0</v>
      </c>
      <c r="AA123" s="393">
        <v>23514767.07</v>
      </c>
    </row>
    <row r="124" spans="10:27" ht="15" customHeight="1" x14ac:dyDescent="0.25">
      <c r="J124" s="400" t="s">
        <v>336</v>
      </c>
      <c r="K124" s="404" t="s">
        <v>514</v>
      </c>
      <c r="L124" s="402" t="s">
        <v>515</v>
      </c>
      <c r="M124" s="402">
        <v>20708884.41</v>
      </c>
      <c r="N124" s="402">
        <v>0</v>
      </c>
      <c r="O124" s="402">
        <v>2940906.46</v>
      </c>
      <c r="P124" s="402">
        <v>2965328.77</v>
      </c>
      <c r="Q124" s="402">
        <v>2938103.44</v>
      </c>
      <c r="R124" s="402">
        <v>2972553.35</v>
      </c>
      <c r="S124" s="402">
        <v>2962063.91</v>
      </c>
      <c r="T124" s="402">
        <v>2960617.74</v>
      </c>
      <c r="U124" s="402">
        <v>2969310.74</v>
      </c>
      <c r="V124" s="402">
        <v>0</v>
      </c>
      <c r="W124" s="402">
        <v>0</v>
      </c>
      <c r="X124" s="402">
        <v>0</v>
      </c>
      <c r="Y124" s="402">
        <v>0</v>
      </c>
      <c r="Z124" s="402">
        <v>0</v>
      </c>
      <c r="AA124" s="402">
        <v>20708884.41</v>
      </c>
    </row>
    <row r="125" spans="10:27" ht="15" customHeight="1" x14ac:dyDescent="0.25">
      <c r="J125" s="400" t="s">
        <v>336</v>
      </c>
      <c r="K125" s="404" t="s">
        <v>516</v>
      </c>
      <c r="L125" s="402" t="s">
        <v>517</v>
      </c>
      <c r="M125" s="402">
        <v>1520925.62</v>
      </c>
      <c r="N125" s="402">
        <v>0</v>
      </c>
      <c r="O125" s="402">
        <v>217627.01</v>
      </c>
      <c r="P125" s="402">
        <v>213256.08</v>
      </c>
      <c r="Q125" s="402">
        <v>208916.78</v>
      </c>
      <c r="R125" s="402">
        <v>224242.52</v>
      </c>
      <c r="S125" s="402">
        <v>220566.13</v>
      </c>
      <c r="T125" s="402">
        <v>220289.13</v>
      </c>
      <c r="U125" s="402">
        <v>216027.97</v>
      </c>
      <c r="V125" s="402">
        <v>0</v>
      </c>
      <c r="W125" s="402">
        <v>0</v>
      </c>
      <c r="X125" s="402">
        <v>0</v>
      </c>
      <c r="Y125" s="402">
        <v>0</v>
      </c>
      <c r="Z125" s="402">
        <v>0</v>
      </c>
      <c r="AA125" s="402">
        <v>1520925.62</v>
      </c>
    </row>
    <row r="126" spans="10:27" ht="15" customHeight="1" x14ac:dyDescent="0.25">
      <c r="J126" s="400" t="s">
        <v>336</v>
      </c>
      <c r="K126" s="404" t="s">
        <v>518</v>
      </c>
      <c r="L126" s="402" t="s">
        <v>519</v>
      </c>
      <c r="M126" s="402">
        <v>-917.76</v>
      </c>
      <c r="N126" s="402">
        <v>0</v>
      </c>
      <c r="O126" s="402">
        <v>-138.06</v>
      </c>
      <c r="P126" s="402">
        <v>-131.97</v>
      </c>
      <c r="Q126" s="402">
        <v>-132.59</v>
      </c>
      <c r="R126" s="402">
        <v>-130</v>
      </c>
      <c r="S126" s="402">
        <v>-129.91999999999999</v>
      </c>
      <c r="T126" s="402">
        <v>-128.83000000000001</v>
      </c>
      <c r="U126" s="402">
        <v>-126.39</v>
      </c>
      <c r="V126" s="402">
        <v>0</v>
      </c>
      <c r="W126" s="402">
        <v>0</v>
      </c>
      <c r="X126" s="402">
        <v>0</v>
      </c>
      <c r="Y126" s="402">
        <v>0</v>
      </c>
      <c r="Z126" s="402">
        <v>0</v>
      </c>
      <c r="AA126" s="402">
        <v>-917.76</v>
      </c>
    </row>
    <row r="127" spans="10:27" ht="15" customHeight="1" x14ac:dyDescent="0.25">
      <c r="J127" s="400" t="s">
        <v>336</v>
      </c>
      <c r="K127" s="404" t="s">
        <v>520</v>
      </c>
      <c r="L127" s="402" t="s">
        <v>521</v>
      </c>
      <c r="M127" s="402">
        <v>77049.67</v>
      </c>
      <c r="N127" s="402">
        <v>0</v>
      </c>
      <c r="O127" s="402">
        <v>11550.57</v>
      </c>
      <c r="P127" s="402">
        <v>11282.65</v>
      </c>
      <c r="Q127" s="402">
        <v>11088.75</v>
      </c>
      <c r="R127" s="402">
        <v>10966.98</v>
      </c>
      <c r="S127" s="402">
        <v>10803.82</v>
      </c>
      <c r="T127" s="402">
        <v>10782.96</v>
      </c>
      <c r="U127" s="402">
        <v>10573.94</v>
      </c>
      <c r="V127" s="402">
        <v>0</v>
      </c>
      <c r="W127" s="402">
        <v>0</v>
      </c>
      <c r="X127" s="402">
        <v>0</v>
      </c>
      <c r="Y127" s="402">
        <v>0</v>
      </c>
      <c r="Z127" s="402">
        <v>0</v>
      </c>
      <c r="AA127" s="402">
        <v>77049.67</v>
      </c>
    </row>
    <row r="128" spans="10:27" ht="15" customHeight="1" x14ac:dyDescent="0.25">
      <c r="J128" s="400" t="s">
        <v>336</v>
      </c>
      <c r="K128" s="404" t="s">
        <v>522</v>
      </c>
      <c r="L128" s="402" t="s">
        <v>523</v>
      </c>
      <c r="M128" s="402">
        <v>20168.48</v>
      </c>
      <c r="N128" s="402">
        <v>0</v>
      </c>
      <c r="O128" s="402">
        <v>3014.27</v>
      </c>
      <c r="P128" s="402">
        <v>3002.28</v>
      </c>
      <c r="Q128" s="402">
        <v>2893.48</v>
      </c>
      <c r="R128" s="402">
        <v>2880.52</v>
      </c>
      <c r="S128" s="402">
        <v>2804.92</v>
      </c>
      <c r="T128" s="402">
        <v>2813.56</v>
      </c>
      <c r="U128" s="402">
        <v>2759.45</v>
      </c>
      <c r="V128" s="402">
        <v>0</v>
      </c>
      <c r="W128" s="402">
        <v>0</v>
      </c>
      <c r="X128" s="402">
        <v>0</v>
      </c>
      <c r="Y128" s="402">
        <v>0</v>
      </c>
      <c r="Z128" s="402">
        <v>0</v>
      </c>
      <c r="AA128" s="402">
        <v>20168.48</v>
      </c>
    </row>
    <row r="129" spans="10:27" ht="15" customHeight="1" x14ac:dyDescent="0.25">
      <c r="J129" s="400" t="s">
        <v>336</v>
      </c>
      <c r="K129" s="404" t="s">
        <v>524</v>
      </c>
      <c r="L129" s="402" t="s">
        <v>525</v>
      </c>
      <c r="M129" s="402">
        <v>595265.71</v>
      </c>
      <c r="N129" s="402">
        <v>0</v>
      </c>
      <c r="O129" s="402">
        <v>85146.03</v>
      </c>
      <c r="P129" s="402">
        <v>87180.54</v>
      </c>
      <c r="Q129" s="402">
        <v>85012.39</v>
      </c>
      <c r="R129" s="402">
        <v>87709.56</v>
      </c>
      <c r="S129" s="402">
        <v>86869.24</v>
      </c>
      <c r="T129" s="402">
        <v>77880.47</v>
      </c>
      <c r="U129" s="402">
        <v>85467.48</v>
      </c>
      <c r="V129" s="402">
        <v>0</v>
      </c>
      <c r="W129" s="402">
        <v>0</v>
      </c>
      <c r="X129" s="402">
        <v>0</v>
      </c>
      <c r="Y129" s="402">
        <v>0</v>
      </c>
      <c r="Z129" s="402">
        <v>0</v>
      </c>
      <c r="AA129" s="402">
        <v>595265.71</v>
      </c>
    </row>
    <row r="130" spans="10:27" ht="15" customHeight="1" x14ac:dyDescent="0.25">
      <c r="J130" s="400" t="s">
        <v>336</v>
      </c>
      <c r="K130" s="404" t="s">
        <v>526</v>
      </c>
      <c r="L130" s="402" t="s">
        <v>527</v>
      </c>
      <c r="M130" s="402">
        <v>80380.13</v>
      </c>
      <c r="N130" s="402">
        <v>0</v>
      </c>
      <c r="O130" s="402">
        <v>11557.55</v>
      </c>
      <c r="P130" s="402">
        <v>11363.86</v>
      </c>
      <c r="Q130" s="402">
        <v>11093.23</v>
      </c>
      <c r="R130" s="402">
        <v>11817.47</v>
      </c>
      <c r="S130" s="402">
        <v>11590.65</v>
      </c>
      <c r="T130" s="402">
        <v>11590.04</v>
      </c>
      <c r="U130" s="402">
        <v>11367.33</v>
      </c>
      <c r="V130" s="402">
        <v>0</v>
      </c>
      <c r="W130" s="402">
        <v>0</v>
      </c>
      <c r="X130" s="402">
        <v>0</v>
      </c>
      <c r="Y130" s="402">
        <v>0</v>
      </c>
      <c r="Z130" s="402">
        <v>0</v>
      </c>
      <c r="AA130" s="402">
        <v>80380.13</v>
      </c>
    </row>
    <row r="131" spans="10:27" ht="15" customHeight="1" x14ac:dyDescent="0.25">
      <c r="J131" s="400" t="s">
        <v>336</v>
      </c>
      <c r="K131" s="404" t="s">
        <v>528</v>
      </c>
      <c r="L131" s="402" t="s">
        <v>529</v>
      </c>
      <c r="M131" s="402">
        <v>446495.44</v>
      </c>
      <c r="N131" s="402">
        <v>0</v>
      </c>
      <c r="O131" s="402">
        <v>66926.210000000006</v>
      </c>
      <c r="P131" s="402">
        <v>65428.35</v>
      </c>
      <c r="Q131" s="402">
        <v>64248.15</v>
      </c>
      <c r="R131" s="402">
        <v>63564.44</v>
      </c>
      <c r="S131" s="402">
        <v>62584.05</v>
      </c>
      <c r="T131" s="402">
        <v>62476.74</v>
      </c>
      <c r="U131" s="402">
        <v>61267.5</v>
      </c>
      <c r="V131" s="402">
        <v>0</v>
      </c>
      <c r="W131" s="402">
        <v>0</v>
      </c>
      <c r="X131" s="402">
        <v>0</v>
      </c>
      <c r="Y131" s="402">
        <v>0</v>
      </c>
      <c r="Z131" s="402">
        <v>0</v>
      </c>
      <c r="AA131" s="402">
        <v>446495.44</v>
      </c>
    </row>
    <row r="132" spans="10:27" ht="15" customHeight="1" x14ac:dyDescent="0.25">
      <c r="J132" s="400" t="s">
        <v>336</v>
      </c>
      <c r="K132" s="404" t="s">
        <v>530</v>
      </c>
      <c r="L132" s="402" t="s">
        <v>531</v>
      </c>
      <c r="M132" s="402">
        <v>10966.61</v>
      </c>
      <c r="N132" s="402">
        <v>0</v>
      </c>
      <c r="O132" s="402">
        <v>1643.82</v>
      </c>
      <c r="P132" s="402">
        <v>1606.94</v>
      </c>
      <c r="Q132" s="402">
        <v>1578.06</v>
      </c>
      <c r="R132" s="402">
        <v>1561.43</v>
      </c>
      <c r="S132" s="402">
        <v>1537.04</v>
      </c>
      <c r="T132" s="402">
        <v>1534.54</v>
      </c>
      <c r="U132" s="402">
        <v>1504.78</v>
      </c>
      <c r="V132" s="402">
        <v>0</v>
      </c>
      <c r="W132" s="402">
        <v>0</v>
      </c>
      <c r="X132" s="402">
        <v>0</v>
      </c>
      <c r="Y132" s="402">
        <v>0</v>
      </c>
      <c r="Z132" s="402">
        <v>0</v>
      </c>
      <c r="AA132" s="402">
        <v>10966.61</v>
      </c>
    </row>
    <row r="133" spans="10:27" ht="15" customHeight="1" x14ac:dyDescent="0.25">
      <c r="J133" s="400" t="s">
        <v>336</v>
      </c>
      <c r="K133" s="404" t="s">
        <v>532</v>
      </c>
      <c r="L133" s="402" t="s">
        <v>533</v>
      </c>
      <c r="M133" s="402">
        <v>55548.76</v>
      </c>
      <c r="N133" s="402">
        <v>0</v>
      </c>
      <c r="O133" s="402">
        <v>0</v>
      </c>
      <c r="P133" s="402">
        <v>0</v>
      </c>
      <c r="Q133" s="402">
        <v>0</v>
      </c>
      <c r="R133" s="402">
        <v>14096.19</v>
      </c>
      <c r="S133" s="402">
        <v>13935.63</v>
      </c>
      <c r="T133" s="402">
        <v>13893.17</v>
      </c>
      <c r="U133" s="402">
        <v>13623.77</v>
      </c>
      <c r="V133" s="402">
        <v>0</v>
      </c>
      <c r="W133" s="402">
        <v>0</v>
      </c>
      <c r="X133" s="402">
        <v>0</v>
      </c>
      <c r="Y133" s="402">
        <v>0</v>
      </c>
      <c r="Z133" s="402">
        <v>0</v>
      </c>
      <c r="AA133" s="402">
        <v>55548.76</v>
      </c>
    </row>
    <row r="134" spans="10:27" ht="15" customHeight="1" x14ac:dyDescent="0.2">
      <c r="J134" s="392" t="s">
        <v>336</v>
      </c>
      <c r="K134" s="399" t="s">
        <v>534</v>
      </c>
      <c r="L134" s="392" t="s">
        <v>535</v>
      </c>
      <c r="M134" s="393">
        <v>224815247.19</v>
      </c>
      <c r="N134" s="393">
        <v>277186808.30000001</v>
      </c>
      <c r="O134" s="393">
        <v>16212666.439999999</v>
      </c>
      <c r="P134" s="393">
        <v>15037188.800000001</v>
      </c>
      <c r="Q134" s="393">
        <v>15315637.65</v>
      </c>
      <c r="R134" s="393">
        <v>16569335.369999999</v>
      </c>
      <c r="S134" s="393">
        <v>16420564.08</v>
      </c>
      <c r="T134" s="393">
        <v>17281965.219999999</v>
      </c>
      <c r="U134" s="393">
        <v>18196948.289999999</v>
      </c>
      <c r="V134" s="393">
        <v>22126980.879999999</v>
      </c>
      <c r="W134" s="393">
        <v>24075203.850000001</v>
      </c>
      <c r="X134" s="393">
        <v>22647583.960000001</v>
      </c>
      <c r="Y134" s="393">
        <v>20893075.25</v>
      </c>
      <c r="Z134" s="393">
        <v>20038097.399999999</v>
      </c>
      <c r="AA134" s="393">
        <v>224815247.19</v>
      </c>
    </row>
    <row r="135" spans="10:27" ht="15" customHeight="1" x14ac:dyDescent="0.25">
      <c r="J135" s="400" t="s">
        <v>336</v>
      </c>
      <c r="K135" s="401" t="s">
        <v>536</v>
      </c>
      <c r="L135" s="402" t="s">
        <v>537</v>
      </c>
      <c r="M135" s="402">
        <v>100022805.91</v>
      </c>
      <c r="N135" s="402">
        <v>119424195</v>
      </c>
      <c r="O135" s="402">
        <v>6872106</v>
      </c>
      <c r="P135" s="402">
        <v>6583526.7300000004</v>
      </c>
      <c r="Q135" s="402">
        <v>6666335.3200000003</v>
      </c>
      <c r="R135" s="402">
        <v>6706309.8700000001</v>
      </c>
      <c r="S135" s="402">
        <v>6628699.6699999999</v>
      </c>
      <c r="T135" s="402">
        <v>6998569.0899999999</v>
      </c>
      <c r="U135" s="402">
        <v>7143997.2300000004</v>
      </c>
      <c r="V135" s="402">
        <v>10479481</v>
      </c>
      <c r="W135" s="402">
        <v>11089580</v>
      </c>
      <c r="X135" s="402">
        <v>10778193</v>
      </c>
      <c r="Y135" s="402">
        <v>10225117</v>
      </c>
      <c r="Z135" s="402">
        <v>9850891</v>
      </c>
      <c r="AA135" s="402">
        <v>100022805.91</v>
      </c>
    </row>
    <row r="136" spans="10:27" ht="15" customHeight="1" x14ac:dyDescent="0.25">
      <c r="J136" s="400" t="s">
        <v>336</v>
      </c>
      <c r="K136" s="401" t="s">
        <v>538</v>
      </c>
      <c r="L136" s="402" t="s">
        <v>539</v>
      </c>
      <c r="M136" s="402">
        <v>97828504.25</v>
      </c>
      <c r="N136" s="402">
        <v>132169369</v>
      </c>
      <c r="O136" s="402">
        <v>7483412.04</v>
      </c>
      <c r="P136" s="402">
        <v>6706261.5300000003</v>
      </c>
      <c r="Q136" s="402">
        <v>6873277.9900000002</v>
      </c>
      <c r="R136" s="402">
        <v>7672988.9699999997</v>
      </c>
      <c r="S136" s="402">
        <v>7607204.2599999998</v>
      </c>
      <c r="T136" s="402">
        <v>8006522.9199999999</v>
      </c>
      <c r="U136" s="402">
        <v>8676105.5399999991</v>
      </c>
      <c r="V136" s="402">
        <v>9099146</v>
      </c>
      <c r="W136" s="402">
        <v>10234560</v>
      </c>
      <c r="X136" s="402">
        <v>9263952</v>
      </c>
      <c r="Y136" s="402">
        <v>8317315</v>
      </c>
      <c r="Z136" s="402">
        <v>7887758</v>
      </c>
      <c r="AA136" s="402">
        <v>97828504.25</v>
      </c>
    </row>
    <row r="137" spans="10:27" ht="15" customHeight="1" x14ac:dyDescent="0.25">
      <c r="J137" s="400" t="s">
        <v>336</v>
      </c>
      <c r="K137" s="401" t="s">
        <v>540</v>
      </c>
      <c r="L137" s="402" t="s">
        <v>541</v>
      </c>
      <c r="M137" s="402">
        <v>-254913.92000000001</v>
      </c>
      <c r="N137" s="402">
        <v>-255043</v>
      </c>
      <c r="O137" s="402">
        <v>-21027.15</v>
      </c>
      <c r="P137" s="402">
        <v>-20429.88</v>
      </c>
      <c r="Q137" s="402">
        <v>-20471.84</v>
      </c>
      <c r="R137" s="402">
        <v>-20275.349999999999</v>
      </c>
      <c r="S137" s="402">
        <v>-21054.28</v>
      </c>
      <c r="T137" s="402">
        <v>-21070.32</v>
      </c>
      <c r="U137" s="402">
        <v>-21421.1</v>
      </c>
      <c r="V137" s="402">
        <v>-22122</v>
      </c>
      <c r="W137" s="402">
        <v>-23128</v>
      </c>
      <c r="X137" s="402">
        <v>-22786</v>
      </c>
      <c r="Y137" s="402">
        <v>-20526</v>
      </c>
      <c r="Z137" s="402">
        <v>-20602</v>
      </c>
      <c r="AA137" s="402">
        <v>-254913.92000000001</v>
      </c>
    </row>
    <row r="138" spans="10:27" ht="15" customHeight="1" x14ac:dyDescent="0.25">
      <c r="J138" s="400" t="s">
        <v>336</v>
      </c>
      <c r="K138" s="401" t="s">
        <v>542</v>
      </c>
      <c r="L138" s="402" t="s">
        <v>543</v>
      </c>
      <c r="M138" s="402">
        <v>3918345.97</v>
      </c>
      <c r="N138" s="402">
        <v>4010659</v>
      </c>
      <c r="O138" s="402">
        <v>318261.84000000003</v>
      </c>
      <c r="P138" s="402">
        <v>309152.09000000003</v>
      </c>
      <c r="Q138" s="402">
        <v>312923.26</v>
      </c>
      <c r="R138" s="402">
        <v>310096.39</v>
      </c>
      <c r="S138" s="402">
        <v>304770.5</v>
      </c>
      <c r="T138" s="402">
        <v>322346.36</v>
      </c>
      <c r="U138" s="402">
        <v>326169.53000000003</v>
      </c>
      <c r="V138" s="402">
        <v>347555</v>
      </c>
      <c r="W138" s="402">
        <v>362605</v>
      </c>
      <c r="X138" s="402">
        <v>357268</v>
      </c>
      <c r="Y138" s="402">
        <v>323014</v>
      </c>
      <c r="Z138" s="402">
        <v>324184</v>
      </c>
      <c r="AA138" s="402">
        <v>3918345.97</v>
      </c>
    </row>
    <row r="139" spans="10:27" ht="15" customHeight="1" x14ac:dyDescent="0.25">
      <c r="J139" s="400" t="s">
        <v>336</v>
      </c>
      <c r="K139" s="401" t="s">
        <v>544</v>
      </c>
      <c r="L139" s="402" t="s">
        <v>545</v>
      </c>
      <c r="M139" s="402">
        <v>1553758.43</v>
      </c>
      <c r="N139" s="402">
        <v>1590404</v>
      </c>
      <c r="O139" s="402">
        <v>126439.21</v>
      </c>
      <c r="P139" s="402">
        <v>113449.02</v>
      </c>
      <c r="Q139" s="402">
        <v>116453.99</v>
      </c>
      <c r="R139" s="402">
        <v>120118.81</v>
      </c>
      <c r="S139" s="402">
        <v>117734.39</v>
      </c>
      <c r="T139" s="402">
        <v>125465.04</v>
      </c>
      <c r="U139" s="402">
        <v>135581.97</v>
      </c>
      <c r="V139" s="402">
        <v>141787</v>
      </c>
      <c r="W139" s="402">
        <v>159745</v>
      </c>
      <c r="X139" s="402">
        <v>144451</v>
      </c>
      <c r="Y139" s="402">
        <v>129636</v>
      </c>
      <c r="Z139" s="402">
        <v>122897</v>
      </c>
      <c r="AA139" s="402">
        <v>1553758.43</v>
      </c>
    </row>
    <row r="140" spans="10:27" ht="15" customHeight="1" x14ac:dyDescent="0.25">
      <c r="J140" s="400" t="s">
        <v>336</v>
      </c>
      <c r="K140" s="401" t="s">
        <v>546</v>
      </c>
      <c r="L140" s="402" t="s">
        <v>547</v>
      </c>
      <c r="M140" s="402">
        <v>5776134.1900000004</v>
      </c>
      <c r="N140" s="402">
        <v>7107788.5199999996</v>
      </c>
      <c r="O140" s="402">
        <v>422866.9</v>
      </c>
      <c r="P140" s="402">
        <v>379955.59</v>
      </c>
      <c r="Q140" s="402">
        <v>389696.86</v>
      </c>
      <c r="R140" s="402">
        <v>436928.13</v>
      </c>
      <c r="S140" s="402">
        <v>445330.3</v>
      </c>
      <c r="T140" s="402">
        <v>445779.69</v>
      </c>
      <c r="U140" s="402">
        <v>477287.69</v>
      </c>
      <c r="V140" s="402">
        <v>561745.6</v>
      </c>
      <c r="W140" s="402">
        <v>609846.87</v>
      </c>
      <c r="X140" s="402">
        <v>572819.43000000005</v>
      </c>
      <c r="Y140" s="402">
        <v>524041.75</v>
      </c>
      <c r="Z140" s="402">
        <v>509835.38</v>
      </c>
      <c r="AA140" s="402">
        <v>5776134.1900000004</v>
      </c>
    </row>
    <row r="141" spans="10:27" ht="15" customHeight="1" x14ac:dyDescent="0.25">
      <c r="J141" s="400" t="s">
        <v>336</v>
      </c>
      <c r="K141" s="401" t="s">
        <v>548</v>
      </c>
      <c r="L141" s="402" t="s">
        <v>549</v>
      </c>
      <c r="M141" s="402">
        <v>4619265.16</v>
      </c>
      <c r="N141" s="402">
        <v>4832479.4000000004</v>
      </c>
      <c r="O141" s="402">
        <v>392517.91</v>
      </c>
      <c r="P141" s="402">
        <v>364204.53</v>
      </c>
      <c r="Q141" s="402">
        <v>370607.53</v>
      </c>
      <c r="R141" s="402">
        <v>400968.89</v>
      </c>
      <c r="S141" s="402">
        <v>397028.72</v>
      </c>
      <c r="T141" s="402">
        <v>418552.01</v>
      </c>
      <c r="U141" s="402">
        <v>440650.4</v>
      </c>
      <c r="V141" s="402">
        <v>373230.25</v>
      </c>
      <c r="W141" s="402">
        <v>418822.34</v>
      </c>
      <c r="X141" s="402">
        <v>383298.71</v>
      </c>
      <c r="Y141" s="402">
        <v>336578.36</v>
      </c>
      <c r="Z141" s="402">
        <v>322805.51</v>
      </c>
      <c r="AA141" s="402">
        <v>4619265.16</v>
      </c>
    </row>
    <row r="142" spans="10:27" ht="15" customHeight="1" x14ac:dyDescent="0.25">
      <c r="J142" s="400" t="s">
        <v>336</v>
      </c>
      <c r="K142" s="401" t="s">
        <v>550</v>
      </c>
      <c r="L142" s="402" t="s">
        <v>551</v>
      </c>
      <c r="M142" s="402">
        <v>3086659.95</v>
      </c>
      <c r="N142" s="402">
        <v>3590346.38</v>
      </c>
      <c r="O142" s="402">
        <v>226614.71</v>
      </c>
      <c r="P142" s="402">
        <v>220061.35</v>
      </c>
      <c r="Q142" s="402">
        <v>222369.02</v>
      </c>
      <c r="R142" s="402">
        <v>221215.6</v>
      </c>
      <c r="S142" s="402">
        <v>217600.85</v>
      </c>
      <c r="T142" s="402">
        <v>230614.13</v>
      </c>
      <c r="U142" s="402">
        <v>232982.32</v>
      </c>
      <c r="V142" s="402">
        <v>306505.13</v>
      </c>
      <c r="W142" s="402">
        <v>317412.5</v>
      </c>
      <c r="X142" s="402">
        <v>313127.52</v>
      </c>
      <c r="Y142" s="402">
        <v>288314.46999999997</v>
      </c>
      <c r="Z142" s="402">
        <v>289842.34999999998</v>
      </c>
      <c r="AA142" s="402">
        <v>3086659.95</v>
      </c>
    </row>
    <row r="143" spans="10:27" ht="15" customHeight="1" x14ac:dyDescent="0.25">
      <c r="J143" s="400" t="s">
        <v>336</v>
      </c>
      <c r="K143" s="401" t="s">
        <v>552</v>
      </c>
      <c r="L143" s="402" t="s">
        <v>553</v>
      </c>
      <c r="M143" s="402">
        <v>4755486.8499999996</v>
      </c>
      <c r="N143" s="402">
        <v>4716610</v>
      </c>
      <c r="O143" s="402">
        <v>391474.98</v>
      </c>
      <c r="P143" s="402">
        <v>381007.84</v>
      </c>
      <c r="Q143" s="402">
        <v>384445.52</v>
      </c>
      <c r="R143" s="402">
        <v>382702.81</v>
      </c>
      <c r="S143" s="402">
        <v>375660.77</v>
      </c>
      <c r="T143" s="402">
        <v>398664.48</v>
      </c>
      <c r="U143" s="402">
        <v>401920.45</v>
      </c>
      <c r="V143" s="402">
        <v>413628</v>
      </c>
      <c r="W143" s="402">
        <v>432582</v>
      </c>
      <c r="X143" s="402">
        <v>425569</v>
      </c>
      <c r="Y143" s="402">
        <v>383273</v>
      </c>
      <c r="Z143" s="402">
        <v>384558</v>
      </c>
      <c r="AA143" s="402">
        <v>4755486.8499999996</v>
      </c>
    </row>
    <row r="144" spans="10:27" ht="15" customHeight="1" x14ac:dyDescent="0.25">
      <c r="J144" s="400" t="s">
        <v>336</v>
      </c>
      <c r="K144" s="401" t="s">
        <v>554</v>
      </c>
      <c r="L144" s="402" t="s">
        <v>555</v>
      </c>
      <c r="M144" s="402">
        <v>3509200.4</v>
      </c>
      <c r="N144" s="402">
        <v>0</v>
      </c>
      <c r="O144" s="402">
        <v>0</v>
      </c>
      <c r="P144" s="402">
        <v>0</v>
      </c>
      <c r="Q144" s="402">
        <v>0</v>
      </c>
      <c r="R144" s="402">
        <v>338281.25</v>
      </c>
      <c r="S144" s="402">
        <v>347588.9</v>
      </c>
      <c r="T144" s="402">
        <v>356521.82</v>
      </c>
      <c r="U144" s="402">
        <v>383674.26</v>
      </c>
      <c r="V144" s="402">
        <v>426024.9</v>
      </c>
      <c r="W144" s="402">
        <v>473178.14</v>
      </c>
      <c r="X144" s="402">
        <v>431691.3</v>
      </c>
      <c r="Y144" s="402">
        <v>386311.67</v>
      </c>
      <c r="Z144" s="402">
        <v>365928.16</v>
      </c>
      <c r="AA144" s="402">
        <v>3509200.4</v>
      </c>
    </row>
    <row r="145" spans="10:27" ht="15" customHeight="1" x14ac:dyDescent="0.2">
      <c r="J145" s="392" t="s">
        <v>336</v>
      </c>
      <c r="K145" s="399" t="s">
        <v>556</v>
      </c>
      <c r="L145" s="392" t="s">
        <v>557</v>
      </c>
      <c r="M145" s="393">
        <v>-352548966.59416342</v>
      </c>
      <c r="N145" s="393">
        <v>-64970134.620227501</v>
      </c>
      <c r="O145" s="393">
        <v>-16387198.09</v>
      </c>
      <c r="P145" s="393">
        <v>-23313327</v>
      </c>
      <c r="Q145" s="393">
        <v>-23157162</v>
      </c>
      <c r="R145" s="393">
        <v>-29122048</v>
      </c>
      <c r="S145" s="393">
        <v>-29263517</v>
      </c>
      <c r="T145" s="393">
        <v>-39022131</v>
      </c>
      <c r="U145" s="393">
        <v>-43674632</v>
      </c>
      <c r="V145" s="393">
        <v>-34545280.502311297</v>
      </c>
      <c r="W145" s="393">
        <v>-36652831.775259003</v>
      </c>
      <c r="X145" s="393">
        <v>-35116295.011659503</v>
      </c>
      <c r="Y145" s="393">
        <v>-24652763.401750199</v>
      </c>
      <c r="Z145" s="393">
        <v>-17641780.813183401</v>
      </c>
      <c r="AA145" s="393">
        <v>-352548966.59416342</v>
      </c>
    </row>
    <row r="146" spans="10:27" ht="15" customHeight="1" x14ac:dyDescent="0.2">
      <c r="J146" s="392" t="s">
        <v>336</v>
      </c>
      <c r="K146" s="403" t="s">
        <v>558</v>
      </c>
      <c r="L146" s="392" t="s">
        <v>559</v>
      </c>
      <c r="M146" s="393">
        <v>-352548966.59416342</v>
      </c>
      <c r="N146" s="393">
        <v>-64970134.620227501</v>
      </c>
      <c r="O146" s="393">
        <v>-16387198.09</v>
      </c>
      <c r="P146" s="393">
        <v>-23313327</v>
      </c>
      <c r="Q146" s="393">
        <v>-23157162</v>
      </c>
      <c r="R146" s="393">
        <v>-29122048</v>
      </c>
      <c r="S146" s="393">
        <v>-29263517</v>
      </c>
      <c r="T146" s="393">
        <v>-39022131</v>
      </c>
      <c r="U146" s="393">
        <v>-43674632</v>
      </c>
      <c r="V146" s="393">
        <v>-34545280.502311297</v>
      </c>
      <c r="W146" s="393">
        <v>-36652831.775259003</v>
      </c>
      <c r="X146" s="393">
        <v>-35116295.011659503</v>
      </c>
      <c r="Y146" s="393">
        <v>-24652763.401750199</v>
      </c>
      <c r="Z146" s="393">
        <v>-17641780.813183401</v>
      </c>
      <c r="AA146" s="393">
        <v>-352548966.59416342</v>
      </c>
    </row>
    <row r="147" spans="10:27" ht="15" customHeight="1" x14ac:dyDescent="0.25">
      <c r="J147" s="400" t="s">
        <v>336</v>
      </c>
      <c r="K147" s="404" t="s">
        <v>560</v>
      </c>
      <c r="L147" s="402" t="s">
        <v>561</v>
      </c>
      <c r="M147" s="402">
        <v>-357160254.59937292</v>
      </c>
      <c r="N147" s="402">
        <v>-74064583.372211903</v>
      </c>
      <c r="O147" s="402">
        <v>-16522067</v>
      </c>
      <c r="P147" s="402">
        <v>-24851605</v>
      </c>
      <c r="Q147" s="402">
        <v>-24114644</v>
      </c>
      <c r="R147" s="402">
        <v>-29758188</v>
      </c>
      <c r="S147" s="402">
        <v>-30191575</v>
      </c>
      <c r="T147" s="402">
        <v>-39423064</v>
      </c>
      <c r="U147" s="402">
        <v>-42424642</v>
      </c>
      <c r="V147" s="402">
        <v>-34382000.910313502</v>
      </c>
      <c r="W147" s="402">
        <v>-35946321.537302002</v>
      </c>
      <c r="X147" s="402">
        <v>-35068318.924063601</v>
      </c>
      <c r="Y147" s="402">
        <v>-25509918.245671999</v>
      </c>
      <c r="Z147" s="402">
        <v>-18967909.982021801</v>
      </c>
      <c r="AA147" s="402">
        <v>-357160254.59937292</v>
      </c>
    </row>
    <row r="148" spans="10:27" ht="15" customHeight="1" x14ac:dyDescent="0.25">
      <c r="J148" s="400" t="s">
        <v>336</v>
      </c>
      <c r="K148" s="404" t="s">
        <v>562</v>
      </c>
      <c r="L148" s="402" t="s">
        <v>563</v>
      </c>
      <c r="M148" s="402">
        <v>-4819870</v>
      </c>
      <c r="N148" s="402">
        <v>-4819866</v>
      </c>
      <c r="O148" s="402">
        <v>-401656</v>
      </c>
      <c r="P148" s="402">
        <v>-401656</v>
      </c>
      <c r="Q148" s="402">
        <v>-401660</v>
      </c>
      <c r="R148" s="402">
        <v>-401656</v>
      </c>
      <c r="S148" s="402">
        <v>-401656</v>
      </c>
      <c r="T148" s="402">
        <v>-401656</v>
      </c>
      <c r="U148" s="402">
        <v>-401656</v>
      </c>
      <c r="V148" s="402">
        <v>-401656</v>
      </c>
      <c r="W148" s="402">
        <v>-401656</v>
      </c>
      <c r="X148" s="402">
        <v>-401656</v>
      </c>
      <c r="Y148" s="402">
        <v>-401656</v>
      </c>
      <c r="Z148" s="402">
        <v>-401650</v>
      </c>
      <c r="AA148" s="402">
        <v>-4819870</v>
      </c>
    </row>
    <row r="149" spans="10:27" ht="15" customHeight="1" x14ac:dyDescent="0.25">
      <c r="J149" s="400" t="s">
        <v>336</v>
      </c>
      <c r="K149" s="404" t="s">
        <v>564</v>
      </c>
      <c r="L149" s="402" t="s">
        <v>565</v>
      </c>
      <c r="M149" s="402">
        <v>-633535.13699699997</v>
      </c>
      <c r="N149" s="402">
        <v>-1029751.5161752</v>
      </c>
      <c r="O149" s="402">
        <v>0</v>
      </c>
      <c r="P149" s="402">
        <v>0</v>
      </c>
      <c r="Q149" s="402">
        <v>0</v>
      </c>
      <c r="R149" s="402">
        <v>0</v>
      </c>
      <c r="S149" s="402">
        <v>0</v>
      </c>
      <c r="T149" s="402">
        <v>0</v>
      </c>
      <c r="U149" s="402">
        <v>-158822</v>
      </c>
      <c r="V149" s="402">
        <v>-64571.694471100003</v>
      </c>
      <c r="W149" s="402">
        <v>-59400.417790300002</v>
      </c>
      <c r="X149" s="402">
        <v>-80154.474869199999</v>
      </c>
      <c r="Y149" s="402">
        <v>-128615.5828715</v>
      </c>
      <c r="Z149" s="402">
        <v>-141970.96699489999</v>
      </c>
      <c r="AA149" s="402">
        <v>-633535.13699699997</v>
      </c>
    </row>
    <row r="150" spans="10:27" ht="15" customHeight="1" x14ac:dyDescent="0.25">
      <c r="J150" s="400" t="s">
        <v>336</v>
      </c>
      <c r="K150" s="404" t="s">
        <v>566</v>
      </c>
      <c r="L150" s="402" t="s">
        <v>567</v>
      </c>
      <c r="M150" s="402">
        <v>-4308509.4469600003</v>
      </c>
      <c r="N150" s="402">
        <v>-3199046.3618399999</v>
      </c>
      <c r="O150" s="402">
        <v>-369611</v>
      </c>
      <c r="P150" s="402">
        <v>1716</v>
      </c>
      <c r="Q150" s="402">
        <v>0</v>
      </c>
      <c r="R150" s="402">
        <v>-42498</v>
      </c>
      <c r="S150" s="402">
        <v>-5625</v>
      </c>
      <c r="T150" s="402">
        <v>-440887</v>
      </c>
      <c r="U150" s="402">
        <v>-1009913</v>
      </c>
      <c r="V150" s="402">
        <v>-766638.03336</v>
      </c>
      <c r="W150" s="402">
        <v>-704449.95600000001</v>
      </c>
      <c r="X150" s="402">
        <v>-809296.74855999998</v>
      </c>
      <c r="Y150" s="402">
        <v>-161306.70903999999</v>
      </c>
      <c r="Z150" s="402">
        <v>0</v>
      </c>
      <c r="AA150" s="402">
        <v>-4308509.4469600003</v>
      </c>
    </row>
    <row r="151" spans="10:27" ht="15" customHeight="1" x14ac:dyDescent="0.25">
      <c r="J151" s="400" t="s">
        <v>336</v>
      </c>
      <c r="K151" s="404" t="s">
        <v>568</v>
      </c>
      <c r="L151" s="402" t="s">
        <v>569</v>
      </c>
      <c r="M151" s="402">
        <v>-3923659</v>
      </c>
      <c r="N151" s="402">
        <v>-906073</v>
      </c>
      <c r="O151" s="402">
        <v>-135620</v>
      </c>
      <c r="P151" s="402">
        <v>-13032</v>
      </c>
      <c r="Q151" s="402">
        <v>-141599</v>
      </c>
      <c r="R151" s="402">
        <v>-221002</v>
      </c>
      <c r="S151" s="402">
        <v>-257588</v>
      </c>
      <c r="T151" s="402">
        <v>-441445</v>
      </c>
      <c r="U151" s="402">
        <v>-588939</v>
      </c>
      <c r="V151" s="402">
        <v>-425090</v>
      </c>
      <c r="W151" s="402">
        <v>-739387</v>
      </c>
      <c r="X151" s="402">
        <v>-574703</v>
      </c>
      <c r="Y151" s="402">
        <v>-258756</v>
      </c>
      <c r="Z151" s="402">
        <v>-126498</v>
      </c>
      <c r="AA151" s="402">
        <v>-3923659</v>
      </c>
    </row>
    <row r="152" spans="10:27" ht="15" customHeight="1" x14ac:dyDescent="0.25">
      <c r="J152" s="400" t="s">
        <v>336</v>
      </c>
      <c r="K152" s="404" t="s">
        <v>570</v>
      </c>
      <c r="L152" s="402" t="s">
        <v>571</v>
      </c>
      <c r="M152" s="402">
        <v>-1983933</v>
      </c>
      <c r="N152" s="402">
        <v>-2355393</v>
      </c>
      <c r="O152" s="402">
        <v>-583818</v>
      </c>
      <c r="P152" s="402">
        <v>139738</v>
      </c>
      <c r="Q152" s="402">
        <v>0</v>
      </c>
      <c r="R152" s="402">
        <v>54574</v>
      </c>
      <c r="S152" s="402">
        <v>0</v>
      </c>
      <c r="T152" s="402">
        <v>-219673</v>
      </c>
      <c r="U152" s="402">
        <v>-423978</v>
      </c>
      <c r="V152" s="402">
        <v>-326675</v>
      </c>
      <c r="W152" s="402">
        <v>-624101</v>
      </c>
      <c r="X152" s="402">
        <v>0</v>
      </c>
      <c r="Y152" s="402">
        <v>0</v>
      </c>
      <c r="Z152" s="402">
        <v>0</v>
      </c>
      <c r="AA152" s="402">
        <v>-1983933</v>
      </c>
    </row>
    <row r="153" spans="10:27" ht="15" customHeight="1" x14ac:dyDescent="0.25">
      <c r="J153" s="400" t="s">
        <v>336</v>
      </c>
      <c r="K153" s="404" t="s">
        <v>572</v>
      </c>
      <c r="L153" s="402" t="s">
        <v>573</v>
      </c>
      <c r="M153" s="402">
        <v>-823986.09</v>
      </c>
      <c r="N153" s="402">
        <v>299797</v>
      </c>
      <c r="O153" s="402">
        <v>-133158.09</v>
      </c>
      <c r="P153" s="402">
        <v>52780</v>
      </c>
      <c r="Q153" s="402">
        <v>-257991</v>
      </c>
      <c r="R153" s="402">
        <v>-512010</v>
      </c>
      <c r="S153" s="402">
        <v>-165805</v>
      </c>
      <c r="T153" s="402">
        <v>145862</v>
      </c>
      <c r="U153" s="402">
        <v>-425414</v>
      </c>
      <c r="V153" s="402">
        <v>62619</v>
      </c>
      <c r="W153" s="402">
        <v>63752</v>
      </c>
      <c r="X153" s="402">
        <v>59102</v>
      </c>
      <c r="Y153" s="402">
        <v>48757</v>
      </c>
      <c r="Z153" s="402">
        <v>237520</v>
      </c>
      <c r="AA153" s="402">
        <v>-823986.09</v>
      </c>
    </row>
    <row r="154" spans="10:27" ht="15" customHeight="1" x14ac:dyDescent="0.25">
      <c r="J154" s="400" t="s">
        <v>336</v>
      </c>
      <c r="K154" s="404" t="s">
        <v>574</v>
      </c>
      <c r="L154" s="402" t="s">
        <v>575</v>
      </c>
      <c r="M154" s="402">
        <v>3967824.6791665</v>
      </c>
      <c r="N154" s="402">
        <v>3967825.6299995999</v>
      </c>
      <c r="O154" s="402">
        <v>330652</v>
      </c>
      <c r="P154" s="402">
        <v>330652</v>
      </c>
      <c r="Q154" s="402">
        <v>330652</v>
      </c>
      <c r="R154" s="402">
        <v>330652</v>
      </c>
      <c r="S154" s="402">
        <v>330652</v>
      </c>
      <c r="T154" s="402">
        <v>330652</v>
      </c>
      <c r="U154" s="402">
        <v>330652</v>
      </c>
      <c r="V154" s="402">
        <v>330652.13583330001</v>
      </c>
      <c r="W154" s="402">
        <v>330652.13583330001</v>
      </c>
      <c r="X154" s="402">
        <v>330652.13583330001</v>
      </c>
      <c r="Y154" s="402">
        <v>330652.13583330001</v>
      </c>
      <c r="Z154" s="402">
        <v>330652.13583330001</v>
      </c>
      <c r="AA154" s="402">
        <v>3967824.6791665</v>
      </c>
    </row>
    <row r="155" spans="10:27" ht="15" customHeight="1" x14ac:dyDescent="0.25">
      <c r="J155" s="400" t="s">
        <v>336</v>
      </c>
      <c r="K155" s="404" t="s">
        <v>576</v>
      </c>
      <c r="L155" s="402" t="s">
        <v>577</v>
      </c>
      <c r="M155" s="402">
        <v>361923</v>
      </c>
      <c r="N155" s="402">
        <v>361923</v>
      </c>
      <c r="O155" s="402">
        <v>30160</v>
      </c>
      <c r="P155" s="402">
        <v>30160</v>
      </c>
      <c r="Q155" s="402">
        <v>30160</v>
      </c>
      <c r="R155" s="402">
        <v>30160</v>
      </c>
      <c r="S155" s="402">
        <v>30160</v>
      </c>
      <c r="T155" s="402">
        <v>30160</v>
      </c>
      <c r="U155" s="402">
        <v>30160</v>
      </c>
      <c r="V155" s="402">
        <v>30160</v>
      </c>
      <c r="W155" s="402">
        <v>30160</v>
      </c>
      <c r="X155" s="402">
        <v>30160</v>
      </c>
      <c r="Y155" s="402">
        <v>30160</v>
      </c>
      <c r="Z155" s="402">
        <v>30163</v>
      </c>
      <c r="AA155" s="402">
        <v>361923</v>
      </c>
    </row>
    <row r="156" spans="10:27" ht="15" customHeight="1" x14ac:dyDescent="0.25">
      <c r="J156" s="400" t="s">
        <v>336</v>
      </c>
      <c r="K156" s="404" t="s">
        <v>578</v>
      </c>
      <c r="L156" s="402" t="s">
        <v>579</v>
      </c>
      <c r="M156" s="402">
        <v>6570558</v>
      </c>
      <c r="N156" s="402">
        <v>6570558</v>
      </c>
      <c r="O156" s="402">
        <v>547547</v>
      </c>
      <c r="P156" s="402">
        <v>547547</v>
      </c>
      <c r="Q156" s="402">
        <v>547547</v>
      </c>
      <c r="R156" s="402">
        <v>547547</v>
      </c>
      <c r="S156" s="402">
        <v>547547</v>
      </c>
      <c r="T156" s="402">
        <v>547547</v>
      </c>
      <c r="U156" s="402">
        <v>547547</v>
      </c>
      <c r="V156" s="402">
        <v>547547</v>
      </c>
      <c r="W156" s="402">
        <v>547547</v>
      </c>
      <c r="X156" s="402">
        <v>547547</v>
      </c>
      <c r="Y156" s="402">
        <v>547547</v>
      </c>
      <c r="Z156" s="402">
        <v>547541</v>
      </c>
      <c r="AA156" s="402">
        <v>6570558</v>
      </c>
    </row>
    <row r="157" spans="10:27" ht="15" customHeight="1" x14ac:dyDescent="0.25">
      <c r="J157" s="400" t="s">
        <v>336</v>
      </c>
      <c r="K157" s="404" t="s">
        <v>580</v>
      </c>
      <c r="L157" s="402" t="s">
        <v>581</v>
      </c>
      <c r="M157" s="402">
        <v>10204475</v>
      </c>
      <c r="N157" s="402">
        <v>10204475</v>
      </c>
      <c r="O157" s="402">
        <v>850373</v>
      </c>
      <c r="P157" s="402">
        <v>850373</v>
      </c>
      <c r="Q157" s="402">
        <v>850373</v>
      </c>
      <c r="R157" s="402">
        <v>850373</v>
      </c>
      <c r="S157" s="402">
        <v>850373</v>
      </c>
      <c r="T157" s="402">
        <v>850373</v>
      </c>
      <c r="U157" s="402">
        <v>850373</v>
      </c>
      <c r="V157" s="402">
        <v>850373</v>
      </c>
      <c r="W157" s="402">
        <v>850373</v>
      </c>
      <c r="X157" s="402">
        <v>850373</v>
      </c>
      <c r="Y157" s="402">
        <v>850373</v>
      </c>
      <c r="Z157" s="402">
        <v>850372</v>
      </c>
      <c r="AA157" s="402">
        <v>10204475</v>
      </c>
    </row>
    <row r="158" spans="10:27" ht="15" customHeight="1" x14ac:dyDescent="0.2">
      <c r="J158" s="392" t="s">
        <v>336</v>
      </c>
      <c r="K158" s="399" t="s">
        <v>582</v>
      </c>
      <c r="L158" s="392" t="s">
        <v>583</v>
      </c>
      <c r="M158" s="393">
        <v>51720906.6157263</v>
      </c>
      <c r="N158" s="393">
        <v>49659682.862478398</v>
      </c>
      <c r="O158" s="393">
        <v>2276057.7999999998</v>
      </c>
      <c r="P158" s="393">
        <v>1666554.75</v>
      </c>
      <c r="Q158" s="393">
        <v>12363550.74</v>
      </c>
      <c r="R158" s="393">
        <v>5989453.4199999999</v>
      </c>
      <c r="S158" s="393">
        <v>11482981.83</v>
      </c>
      <c r="T158" s="393">
        <v>15944499.24</v>
      </c>
      <c r="U158" s="393">
        <v>6858396.8899999997</v>
      </c>
      <c r="V158" s="393">
        <v>2698748.8595285001</v>
      </c>
      <c r="W158" s="393">
        <v>-4765301.9586605998</v>
      </c>
      <c r="X158" s="393">
        <v>-945835.00819269998</v>
      </c>
      <c r="Y158" s="393">
        <v>-7264927.4219583003</v>
      </c>
      <c r="Z158" s="393">
        <v>5416727.4750094004</v>
      </c>
      <c r="AA158" s="393">
        <v>51720906.6157263</v>
      </c>
    </row>
    <row r="159" spans="10:27" ht="15" customHeight="1" x14ac:dyDescent="0.2">
      <c r="J159" s="392" t="s">
        <v>336</v>
      </c>
      <c r="K159" s="403" t="s">
        <v>584</v>
      </c>
      <c r="L159" s="392" t="s">
        <v>585</v>
      </c>
      <c r="M159" s="393">
        <v>364020.66</v>
      </c>
      <c r="N159" s="393">
        <v>0</v>
      </c>
      <c r="O159" s="393">
        <v>-2256827</v>
      </c>
      <c r="P159" s="393">
        <v>-3449709</v>
      </c>
      <c r="Q159" s="393">
        <v>8184181</v>
      </c>
      <c r="R159" s="393">
        <v>1675112</v>
      </c>
      <c r="S159" s="393">
        <v>7596114</v>
      </c>
      <c r="T159" s="393">
        <v>12098681</v>
      </c>
      <c r="U159" s="393">
        <v>2043726</v>
      </c>
      <c r="V159" s="393">
        <v>-1179571.07</v>
      </c>
      <c r="W159" s="393">
        <v>-8842737.0500000007</v>
      </c>
      <c r="X159" s="393">
        <v>-5336817.47</v>
      </c>
      <c r="Y159" s="393">
        <v>-11350714.210000001</v>
      </c>
      <c r="Z159" s="393">
        <v>1182582.46</v>
      </c>
      <c r="AA159" s="393">
        <v>364020.66</v>
      </c>
    </row>
    <row r="160" spans="10:27" ht="15" customHeight="1" x14ac:dyDescent="0.25">
      <c r="J160" s="400" t="s">
        <v>336</v>
      </c>
      <c r="K160" s="404" t="s">
        <v>586</v>
      </c>
      <c r="L160" s="402" t="s">
        <v>587</v>
      </c>
      <c r="M160" s="402">
        <v>364020.66</v>
      </c>
      <c r="N160" s="402">
        <v>0</v>
      </c>
      <c r="O160" s="402">
        <v>-2256827</v>
      </c>
      <c r="P160" s="402">
        <v>-3449709</v>
      </c>
      <c r="Q160" s="402">
        <v>8184181</v>
      </c>
      <c r="R160" s="402">
        <v>1675112</v>
      </c>
      <c r="S160" s="402">
        <v>7596114</v>
      </c>
      <c r="T160" s="402">
        <v>12098681</v>
      </c>
      <c r="U160" s="402">
        <v>2043726</v>
      </c>
      <c r="V160" s="402">
        <v>-1179571.07</v>
      </c>
      <c r="W160" s="402">
        <v>-8842737.0500000007</v>
      </c>
      <c r="X160" s="402">
        <v>-5336817.47</v>
      </c>
      <c r="Y160" s="402">
        <v>-11350714.210000001</v>
      </c>
      <c r="Z160" s="402">
        <v>1182582.46</v>
      </c>
      <c r="AA160" s="402">
        <v>364020.66</v>
      </c>
    </row>
    <row r="161" spans="10:27" ht="15" customHeight="1" x14ac:dyDescent="0.2">
      <c r="J161" s="392" t="s">
        <v>336</v>
      </c>
      <c r="K161" s="403" t="s">
        <v>588</v>
      </c>
      <c r="L161" s="392" t="s">
        <v>589</v>
      </c>
      <c r="M161" s="393">
        <v>4507542.0599993998</v>
      </c>
      <c r="N161" s="393">
        <v>2970789</v>
      </c>
      <c r="O161" s="393">
        <v>535871.04</v>
      </c>
      <c r="P161" s="393">
        <v>696274.09</v>
      </c>
      <c r="Q161" s="393">
        <v>437272.12</v>
      </c>
      <c r="R161" s="393">
        <v>932885.48</v>
      </c>
      <c r="S161" s="393">
        <v>77694.460000000006</v>
      </c>
      <c r="T161" s="393">
        <v>105419.26</v>
      </c>
      <c r="U161" s="393">
        <v>1021618.13</v>
      </c>
      <c r="V161" s="393">
        <v>143782.8799997</v>
      </c>
      <c r="W161" s="393">
        <v>146052.9999997</v>
      </c>
      <c r="X161" s="393">
        <v>119681.60000000001</v>
      </c>
      <c r="Y161" s="393">
        <v>154326</v>
      </c>
      <c r="Z161" s="393">
        <v>136664</v>
      </c>
      <c r="AA161" s="393">
        <v>4507542.0599993998</v>
      </c>
    </row>
    <row r="162" spans="10:27" ht="15" customHeight="1" x14ac:dyDescent="0.25">
      <c r="J162" s="400" t="s">
        <v>336</v>
      </c>
      <c r="K162" s="404" t="s">
        <v>590</v>
      </c>
      <c r="L162" s="402" t="s">
        <v>591</v>
      </c>
      <c r="M162" s="402">
        <v>2814172.4599994002</v>
      </c>
      <c r="N162" s="402">
        <v>2790792</v>
      </c>
      <c r="O162" s="402">
        <v>394538.25</v>
      </c>
      <c r="P162" s="402">
        <v>470296.32000000001</v>
      </c>
      <c r="Q162" s="402">
        <v>302690.93</v>
      </c>
      <c r="R162" s="402">
        <v>163305.98000000001</v>
      </c>
      <c r="S162" s="402">
        <v>73464.800000000003</v>
      </c>
      <c r="T162" s="402">
        <v>78886.649999999994</v>
      </c>
      <c r="U162" s="402">
        <v>667463.93000000005</v>
      </c>
      <c r="V162" s="402">
        <v>115878.9999997</v>
      </c>
      <c r="W162" s="402">
        <v>144146.9999997</v>
      </c>
      <c r="X162" s="402">
        <v>118017.60000000001</v>
      </c>
      <c r="Y162" s="402">
        <v>151547</v>
      </c>
      <c r="Z162" s="402">
        <v>133935</v>
      </c>
      <c r="AA162" s="402">
        <v>2814172.4599994002</v>
      </c>
    </row>
    <row r="163" spans="10:27" ht="15" customHeight="1" x14ac:dyDescent="0.25">
      <c r="J163" s="400" t="s">
        <v>336</v>
      </c>
      <c r="K163" s="404" t="s">
        <v>592</v>
      </c>
      <c r="L163" s="402" t="s">
        <v>593</v>
      </c>
      <c r="M163" s="402">
        <v>219868.77</v>
      </c>
      <c r="N163" s="402">
        <v>0</v>
      </c>
      <c r="O163" s="402">
        <v>17258.63</v>
      </c>
      <c r="P163" s="402">
        <v>44587.14</v>
      </c>
      <c r="Q163" s="402">
        <v>22717.42</v>
      </c>
      <c r="R163" s="402">
        <v>68027.08</v>
      </c>
      <c r="S163" s="402">
        <v>4229.66</v>
      </c>
      <c r="T163" s="402">
        <v>4016.21</v>
      </c>
      <c r="U163" s="402">
        <v>32989.75</v>
      </c>
      <c r="V163" s="402">
        <v>26042.880000000001</v>
      </c>
      <c r="W163" s="402">
        <v>0</v>
      </c>
      <c r="X163" s="402">
        <v>0</v>
      </c>
      <c r="Y163" s="402">
        <v>0</v>
      </c>
      <c r="Z163" s="402">
        <v>0</v>
      </c>
      <c r="AA163" s="402">
        <v>219868.77</v>
      </c>
    </row>
    <row r="164" spans="10:27" ht="15" customHeight="1" x14ac:dyDescent="0.25">
      <c r="J164" s="400" t="s">
        <v>336</v>
      </c>
      <c r="K164" s="404" t="s">
        <v>594</v>
      </c>
      <c r="L164" s="402" t="s">
        <v>595</v>
      </c>
      <c r="M164" s="402">
        <v>1473500.83</v>
      </c>
      <c r="N164" s="402">
        <v>179997</v>
      </c>
      <c r="O164" s="402">
        <v>124074.16</v>
      </c>
      <c r="P164" s="402">
        <v>181390.63</v>
      </c>
      <c r="Q164" s="402">
        <v>111863.77</v>
      </c>
      <c r="R164" s="402">
        <v>701552.42</v>
      </c>
      <c r="S164" s="402">
        <v>0</v>
      </c>
      <c r="T164" s="402">
        <v>22516.400000000001</v>
      </c>
      <c r="U164" s="402">
        <v>321164.45</v>
      </c>
      <c r="V164" s="402">
        <v>1861</v>
      </c>
      <c r="W164" s="402">
        <v>1906</v>
      </c>
      <c r="X164" s="402">
        <v>1664</v>
      </c>
      <c r="Y164" s="402">
        <v>2779</v>
      </c>
      <c r="Z164" s="402">
        <v>2729</v>
      </c>
      <c r="AA164" s="402">
        <v>1473500.83</v>
      </c>
    </row>
    <row r="165" spans="10:27" ht="15" customHeight="1" x14ac:dyDescent="0.2">
      <c r="J165" s="392" t="s">
        <v>336</v>
      </c>
      <c r="K165" s="403" t="s">
        <v>596</v>
      </c>
      <c r="L165" s="392" t="s">
        <v>597</v>
      </c>
      <c r="M165" s="393">
        <v>18920033.111015499</v>
      </c>
      <c r="N165" s="393">
        <v>18711768.258437201</v>
      </c>
      <c r="O165" s="393">
        <v>1715825.84</v>
      </c>
      <c r="P165" s="393">
        <v>1604099.15</v>
      </c>
      <c r="Q165" s="393">
        <v>1621857.39</v>
      </c>
      <c r="R165" s="393">
        <v>1158858.3999999999</v>
      </c>
      <c r="S165" s="393">
        <v>1605854.81</v>
      </c>
      <c r="T165" s="393">
        <v>1721124.42</v>
      </c>
      <c r="U165" s="393">
        <v>1701640.16</v>
      </c>
      <c r="V165" s="393">
        <v>1550173.1882031001</v>
      </c>
      <c r="W165" s="393">
        <v>1559832.1882031001</v>
      </c>
      <c r="X165" s="393">
        <v>1559891.1882031001</v>
      </c>
      <c r="Y165" s="393">
        <v>1560255.1882031001</v>
      </c>
      <c r="Z165" s="393">
        <v>1560621.1882031001</v>
      </c>
      <c r="AA165" s="393">
        <v>18920033.111015499</v>
      </c>
    </row>
    <row r="166" spans="10:27" ht="15" customHeight="1" x14ac:dyDescent="0.25">
      <c r="J166" s="400" t="s">
        <v>336</v>
      </c>
      <c r="K166" s="404" t="s">
        <v>598</v>
      </c>
      <c r="L166" s="402" t="s">
        <v>599</v>
      </c>
      <c r="M166" s="402">
        <v>101200.16</v>
      </c>
      <c r="N166" s="402">
        <v>103981</v>
      </c>
      <c r="O166" s="402">
        <v>8300.99</v>
      </c>
      <c r="P166" s="402">
        <v>7137.87</v>
      </c>
      <c r="Q166" s="402">
        <v>8632.0499999999993</v>
      </c>
      <c r="R166" s="402">
        <v>8412.5400000000009</v>
      </c>
      <c r="S166" s="402">
        <v>8581.39</v>
      </c>
      <c r="T166" s="402">
        <v>7806.96</v>
      </c>
      <c r="U166" s="402">
        <v>8574.36</v>
      </c>
      <c r="V166" s="402">
        <v>8577</v>
      </c>
      <c r="W166" s="402">
        <v>8664</v>
      </c>
      <c r="X166" s="402">
        <v>8750</v>
      </c>
      <c r="Y166" s="402">
        <v>8837</v>
      </c>
      <c r="Z166" s="402">
        <v>8926</v>
      </c>
      <c r="AA166" s="402">
        <v>101200.16</v>
      </c>
    </row>
    <row r="167" spans="10:27" ht="15" customHeight="1" x14ac:dyDescent="0.25">
      <c r="J167" s="400" t="s">
        <v>336</v>
      </c>
      <c r="K167" s="404" t="s">
        <v>600</v>
      </c>
      <c r="L167" s="402" t="s">
        <v>601</v>
      </c>
      <c r="M167" s="402">
        <v>551103</v>
      </c>
      <c r="N167" s="402">
        <v>456213</v>
      </c>
      <c r="O167" s="402">
        <v>34800</v>
      </c>
      <c r="P167" s="402">
        <v>33270</v>
      </c>
      <c r="Q167" s="402">
        <v>39130</v>
      </c>
      <c r="R167" s="402">
        <v>34180</v>
      </c>
      <c r="S167" s="402">
        <v>43405</v>
      </c>
      <c r="T167" s="402">
        <v>52020</v>
      </c>
      <c r="U167" s="402">
        <v>47560</v>
      </c>
      <c r="V167" s="402">
        <v>45600</v>
      </c>
      <c r="W167" s="402">
        <v>54872</v>
      </c>
      <c r="X167" s="402">
        <v>55145</v>
      </c>
      <c r="Y167" s="402">
        <v>55422</v>
      </c>
      <c r="Z167" s="402">
        <v>55699</v>
      </c>
      <c r="AA167" s="402">
        <v>551103</v>
      </c>
    </row>
    <row r="168" spans="10:27" ht="15" customHeight="1" x14ac:dyDescent="0.25">
      <c r="J168" s="400" t="s">
        <v>336</v>
      </c>
      <c r="K168" s="404" t="s">
        <v>602</v>
      </c>
      <c r="L168" s="402" t="s">
        <v>603</v>
      </c>
      <c r="M168" s="402">
        <v>49210</v>
      </c>
      <c r="N168" s="402">
        <v>600</v>
      </c>
      <c r="O168" s="402">
        <v>3860</v>
      </c>
      <c r="P168" s="402">
        <v>4630</v>
      </c>
      <c r="Q168" s="402">
        <v>4260</v>
      </c>
      <c r="R168" s="402">
        <v>10360</v>
      </c>
      <c r="S168" s="402">
        <v>5740</v>
      </c>
      <c r="T168" s="402">
        <v>6810</v>
      </c>
      <c r="U168" s="402">
        <v>13250</v>
      </c>
      <c r="V168" s="402">
        <v>0</v>
      </c>
      <c r="W168" s="402">
        <v>300</v>
      </c>
      <c r="X168" s="402">
        <v>0</v>
      </c>
      <c r="Y168" s="402">
        <v>0</v>
      </c>
      <c r="Z168" s="402">
        <v>0</v>
      </c>
      <c r="AA168" s="402">
        <v>49210</v>
      </c>
    </row>
    <row r="169" spans="10:27" ht="15" customHeight="1" x14ac:dyDescent="0.25">
      <c r="J169" s="400" t="s">
        <v>336</v>
      </c>
      <c r="K169" s="404" t="s">
        <v>604</v>
      </c>
      <c r="L169" s="402" t="s">
        <v>605</v>
      </c>
      <c r="M169" s="402">
        <v>5920</v>
      </c>
      <c r="N169" s="402">
        <v>6660</v>
      </c>
      <c r="O169" s="402">
        <v>0</v>
      </c>
      <c r="P169" s="402">
        <v>185</v>
      </c>
      <c r="Q169" s="402">
        <v>925</v>
      </c>
      <c r="R169" s="402">
        <v>370</v>
      </c>
      <c r="S169" s="402">
        <v>370</v>
      </c>
      <c r="T169" s="402">
        <v>370</v>
      </c>
      <c r="U169" s="402">
        <v>925</v>
      </c>
      <c r="V169" s="402">
        <v>555</v>
      </c>
      <c r="W169" s="402">
        <v>555</v>
      </c>
      <c r="X169" s="402">
        <v>555</v>
      </c>
      <c r="Y169" s="402">
        <v>555</v>
      </c>
      <c r="Z169" s="402">
        <v>555</v>
      </c>
      <c r="AA169" s="402">
        <v>5920</v>
      </c>
    </row>
    <row r="170" spans="10:27" ht="15" customHeight="1" x14ac:dyDescent="0.25">
      <c r="J170" s="400" t="s">
        <v>336</v>
      </c>
      <c r="K170" s="404" t="s">
        <v>606</v>
      </c>
      <c r="L170" s="402" t="s">
        <v>607</v>
      </c>
      <c r="M170" s="402">
        <v>1399294.52</v>
      </c>
      <c r="N170" s="402">
        <v>1488888</v>
      </c>
      <c r="O170" s="402">
        <v>97216</v>
      </c>
      <c r="P170" s="402">
        <v>100348.52</v>
      </c>
      <c r="Q170" s="402">
        <v>122292</v>
      </c>
      <c r="R170" s="402">
        <v>98798</v>
      </c>
      <c r="S170" s="402">
        <v>118492</v>
      </c>
      <c r="T170" s="402">
        <v>126874</v>
      </c>
      <c r="U170" s="402">
        <v>114904</v>
      </c>
      <c r="V170" s="402">
        <v>124074</v>
      </c>
      <c r="W170" s="402">
        <v>124074</v>
      </c>
      <c r="X170" s="402">
        <v>124074</v>
      </c>
      <c r="Y170" s="402">
        <v>124074</v>
      </c>
      <c r="Z170" s="402">
        <v>124074</v>
      </c>
      <c r="AA170" s="402">
        <v>1399294.52</v>
      </c>
    </row>
    <row r="171" spans="10:27" ht="15" customHeight="1" x14ac:dyDescent="0.25">
      <c r="J171" s="400" t="s">
        <v>336</v>
      </c>
      <c r="K171" s="404" t="s">
        <v>608</v>
      </c>
      <c r="L171" s="402" t="s">
        <v>609</v>
      </c>
      <c r="M171" s="402">
        <v>1784092</v>
      </c>
      <c r="N171" s="402">
        <v>1500000</v>
      </c>
      <c r="O171" s="402">
        <v>150744</v>
      </c>
      <c r="P171" s="402">
        <v>153984</v>
      </c>
      <c r="Q171" s="402">
        <v>200328</v>
      </c>
      <c r="R171" s="402">
        <v>157512</v>
      </c>
      <c r="S171" s="402">
        <v>183456</v>
      </c>
      <c r="T171" s="402">
        <v>187152</v>
      </c>
      <c r="U171" s="402">
        <v>125916</v>
      </c>
      <c r="V171" s="402">
        <v>125000</v>
      </c>
      <c r="W171" s="402">
        <v>125000</v>
      </c>
      <c r="X171" s="402">
        <v>125000</v>
      </c>
      <c r="Y171" s="402">
        <v>125000</v>
      </c>
      <c r="Z171" s="402">
        <v>125000</v>
      </c>
      <c r="AA171" s="402">
        <v>1784092</v>
      </c>
    </row>
    <row r="172" spans="10:27" ht="15" customHeight="1" x14ac:dyDescent="0.25">
      <c r="J172" s="400" t="s">
        <v>336</v>
      </c>
      <c r="K172" s="404" t="s">
        <v>610</v>
      </c>
      <c r="L172" s="402" t="s">
        <v>611</v>
      </c>
      <c r="M172" s="402">
        <v>11717502.150130499</v>
      </c>
      <c r="N172" s="402">
        <v>11534139.8163132</v>
      </c>
      <c r="O172" s="402">
        <v>1100451.23</v>
      </c>
      <c r="P172" s="402">
        <v>987898.03</v>
      </c>
      <c r="Q172" s="402">
        <v>905185.82</v>
      </c>
      <c r="R172" s="402">
        <v>915133.21</v>
      </c>
      <c r="S172" s="402">
        <v>936618.12</v>
      </c>
      <c r="T172" s="402">
        <v>1010341.08</v>
      </c>
      <c r="U172" s="402">
        <v>1055983.07</v>
      </c>
      <c r="V172" s="402">
        <v>961178.31802610005</v>
      </c>
      <c r="W172" s="402">
        <v>961178.31802610005</v>
      </c>
      <c r="X172" s="402">
        <v>961178.31802610005</v>
      </c>
      <c r="Y172" s="402">
        <v>961178.31802610005</v>
      </c>
      <c r="Z172" s="402">
        <v>961178.31802610005</v>
      </c>
      <c r="AA172" s="402">
        <v>11717502.150130499</v>
      </c>
    </row>
    <row r="173" spans="10:27" ht="15" customHeight="1" x14ac:dyDescent="0.25">
      <c r="J173" s="400" t="s">
        <v>336</v>
      </c>
      <c r="K173" s="404" t="s">
        <v>612</v>
      </c>
      <c r="L173" s="402" t="s">
        <v>613</v>
      </c>
      <c r="M173" s="402">
        <v>1753046</v>
      </c>
      <c r="N173" s="402">
        <v>2048088</v>
      </c>
      <c r="O173" s="402">
        <v>142352</v>
      </c>
      <c r="P173" s="402">
        <v>132943</v>
      </c>
      <c r="Q173" s="402">
        <v>152552</v>
      </c>
      <c r="R173" s="402">
        <v>98448</v>
      </c>
      <c r="S173" s="402">
        <v>127792</v>
      </c>
      <c r="T173" s="402">
        <v>108501</v>
      </c>
      <c r="U173" s="402">
        <v>137088</v>
      </c>
      <c r="V173" s="402">
        <v>170674</v>
      </c>
      <c r="W173" s="402">
        <v>170674</v>
      </c>
      <c r="X173" s="402">
        <v>170674</v>
      </c>
      <c r="Y173" s="402">
        <v>170674</v>
      </c>
      <c r="Z173" s="402">
        <v>170674</v>
      </c>
      <c r="AA173" s="402">
        <v>1753046</v>
      </c>
    </row>
    <row r="174" spans="10:27" ht="15" customHeight="1" x14ac:dyDescent="0.25">
      <c r="J174" s="400" t="s">
        <v>336</v>
      </c>
      <c r="K174" s="404" t="s">
        <v>614</v>
      </c>
      <c r="L174" s="402" t="s">
        <v>615</v>
      </c>
      <c r="M174" s="402">
        <v>358310</v>
      </c>
      <c r="N174" s="402">
        <v>499020</v>
      </c>
      <c r="O174" s="402">
        <v>32350</v>
      </c>
      <c r="P174" s="402">
        <v>32000</v>
      </c>
      <c r="Q174" s="402">
        <v>41280</v>
      </c>
      <c r="R174" s="402">
        <v>30400</v>
      </c>
      <c r="S174" s="402">
        <v>37120</v>
      </c>
      <c r="T174" s="402">
        <v>35840</v>
      </c>
      <c r="U174" s="402">
        <v>24320</v>
      </c>
      <c r="V174" s="402">
        <v>25000</v>
      </c>
      <c r="W174" s="402">
        <v>25000</v>
      </c>
      <c r="X174" s="402">
        <v>25000</v>
      </c>
      <c r="Y174" s="402">
        <v>25000</v>
      </c>
      <c r="Z174" s="402">
        <v>25000</v>
      </c>
      <c r="AA174" s="402">
        <v>358310</v>
      </c>
    </row>
    <row r="175" spans="10:27" ht="15" customHeight="1" x14ac:dyDescent="0.25">
      <c r="J175" s="400" t="s">
        <v>336</v>
      </c>
      <c r="K175" s="404" t="s">
        <v>616</v>
      </c>
      <c r="L175" s="402" t="s">
        <v>617</v>
      </c>
      <c r="M175" s="402">
        <v>10875.71</v>
      </c>
      <c r="N175" s="402">
        <v>11300.904</v>
      </c>
      <c r="O175" s="402">
        <v>400</v>
      </c>
      <c r="P175" s="402">
        <v>962</v>
      </c>
      <c r="Q175" s="402">
        <v>1150</v>
      </c>
      <c r="R175" s="402">
        <v>505</v>
      </c>
      <c r="S175" s="402">
        <v>600</v>
      </c>
      <c r="T175" s="402">
        <v>1100</v>
      </c>
      <c r="U175" s="402">
        <v>1450</v>
      </c>
      <c r="V175" s="402">
        <v>941.74199999999996</v>
      </c>
      <c r="W175" s="402">
        <v>941.74199999999996</v>
      </c>
      <c r="X175" s="402">
        <v>941.74199999999996</v>
      </c>
      <c r="Y175" s="402">
        <v>941.74199999999996</v>
      </c>
      <c r="Z175" s="402">
        <v>941.74199999999996</v>
      </c>
      <c r="AA175" s="402">
        <v>10875.71</v>
      </c>
    </row>
    <row r="176" spans="10:27" ht="15" customHeight="1" x14ac:dyDescent="0.25">
      <c r="J176" s="400" t="s">
        <v>336</v>
      </c>
      <c r="K176" s="404" t="s">
        <v>618</v>
      </c>
      <c r="L176" s="402" t="s">
        <v>619</v>
      </c>
      <c r="M176" s="402">
        <v>1435452.1608849999</v>
      </c>
      <c r="N176" s="402">
        <v>1029037.538124</v>
      </c>
      <c r="O176" s="402">
        <v>138583.39000000001</v>
      </c>
      <c r="P176" s="402">
        <v>121870.52</v>
      </c>
      <c r="Q176" s="402">
        <v>136613.26</v>
      </c>
      <c r="R176" s="402">
        <v>122836.57</v>
      </c>
      <c r="S176" s="402">
        <v>140334.01999999999</v>
      </c>
      <c r="T176" s="402">
        <v>176691.98</v>
      </c>
      <c r="U176" s="402">
        <v>169756.78</v>
      </c>
      <c r="V176" s="402">
        <v>85753.128177000006</v>
      </c>
      <c r="W176" s="402">
        <v>85753.128177000006</v>
      </c>
      <c r="X176" s="402">
        <v>85753.128177000006</v>
      </c>
      <c r="Y176" s="402">
        <v>85753.128177000006</v>
      </c>
      <c r="Z176" s="402">
        <v>85753.128177000006</v>
      </c>
      <c r="AA176" s="402">
        <v>1435452.1608849999</v>
      </c>
    </row>
    <row r="177" spans="10:27" ht="15" customHeight="1" x14ac:dyDescent="0.25">
      <c r="J177" s="400" t="s">
        <v>336</v>
      </c>
      <c r="K177" s="404" t="s">
        <v>620</v>
      </c>
      <c r="L177" s="402" t="s">
        <v>621</v>
      </c>
      <c r="M177" s="402">
        <v>40650</v>
      </c>
      <c r="N177" s="402">
        <v>33840</v>
      </c>
      <c r="O177" s="402">
        <v>7550</v>
      </c>
      <c r="P177" s="402">
        <v>5625</v>
      </c>
      <c r="Q177" s="402">
        <v>4975</v>
      </c>
      <c r="R177" s="402">
        <v>1500</v>
      </c>
      <c r="S177" s="402">
        <v>1150</v>
      </c>
      <c r="T177" s="402">
        <v>3000</v>
      </c>
      <c r="U177" s="402">
        <v>2750</v>
      </c>
      <c r="V177" s="402">
        <v>2820</v>
      </c>
      <c r="W177" s="402">
        <v>2820</v>
      </c>
      <c r="X177" s="402">
        <v>2820</v>
      </c>
      <c r="Y177" s="402">
        <v>2820</v>
      </c>
      <c r="Z177" s="402">
        <v>2820</v>
      </c>
      <c r="AA177" s="402">
        <v>40650</v>
      </c>
    </row>
    <row r="178" spans="10:27" ht="15" customHeight="1" x14ac:dyDescent="0.25">
      <c r="J178" s="400" t="s">
        <v>336</v>
      </c>
      <c r="K178" s="404" t="s">
        <v>622</v>
      </c>
      <c r="L178" s="402" t="s">
        <v>623</v>
      </c>
      <c r="M178" s="402">
        <v>-286622.59000000003</v>
      </c>
      <c r="N178" s="402">
        <v>0</v>
      </c>
      <c r="O178" s="402">
        <v>-781.77</v>
      </c>
      <c r="P178" s="402">
        <v>23245.21</v>
      </c>
      <c r="Q178" s="402">
        <v>4534.26</v>
      </c>
      <c r="R178" s="402">
        <v>-319596.92</v>
      </c>
      <c r="S178" s="402">
        <v>2196.2800000000002</v>
      </c>
      <c r="T178" s="402">
        <v>4617.3999999999996</v>
      </c>
      <c r="U178" s="402">
        <v>-837.05</v>
      </c>
      <c r="V178" s="402">
        <v>0</v>
      </c>
      <c r="W178" s="402">
        <v>0</v>
      </c>
      <c r="X178" s="402">
        <v>0</v>
      </c>
      <c r="Y178" s="402">
        <v>0</v>
      </c>
      <c r="Z178" s="402">
        <v>0</v>
      </c>
      <c r="AA178" s="402">
        <v>-286622.59000000003</v>
      </c>
    </row>
    <row r="179" spans="10:27" ht="15" customHeight="1" x14ac:dyDescent="0.2">
      <c r="J179" s="392" t="s">
        <v>336</v>
      </c>
      <c r="K179" s="403" t="s">
        <v>624</v>
      </c>
      <c r="L179" s="392" t="s">
        <v>625</v>
      </c>
      <c r="M179" s="393">
        <v>14420428.944964699</v>
      </c>
      <c r="N179" s="393">
        <v>14162317.5140412</v>
      </c>
      <c r="O179" s="393">
        <v>1112300.6399999999</v>
      </c>
      <c r="P179" s="393">
        <v>1567837.17</v>
      </c>
      <c r="Q179" s="393">
        <v>1169298.29</v>
      </c>
      <c r="R179" s="393">
        <v>1199256.56</v>
      </c>
      <c r="S179" s="393">
        <v>932452.15</v>
      </c>
      <c r="T179" s="393">
        <v>1274322.3899999999</v>
      </c>
      <c r="U179" s="393">
        <v>1173248.8400000001</v>
      </c>
      <c r="V179" s="393">
        <v>1248177.1828970001</v>
      </c>
      <c r="W179" s="393">
        <v>1162871.2593391</v>
      </c>
      <c r="X179" s="393">
        <v>1243363.4586813999</v>
      </c>
      <c r="Y179" s="393">
        <v>1147427.948237</v>
      </c>
      <c r="Z179" s="393">
        <v>1189873.0558102001</v>
      </c>
      <c r="AA179" s="393">
        <v>14420428.944964699</v>
      </c>
    </row>
    <row r="180" spans="10:27" ht="15" customHeight="1" x14ac:dyDescent="0.25">
      <c r="J180" s="400" t="s">
        <v>336</v>
      </c>
      <c r="K180" s="404" t="s">
        <v>626</v>
      </c>
      <c r="L180" s="402" t="s">
        <v>627</v>
      </c>
      <c r="M180" s="402">
        <v>710509.49</v>
      </c>
      <c r="N180" s="402">
        <v>637333.65</v>
      </c>
      <c r="O180" s="402">
        <v>27257.360000000001</v>
      </c>
      <c r="P180" s="402">
        <v>429504.7</v>
      </c>
      <c r="Q180" s="402">
        <v>19919.16</v>
      </c>
      <c r="R180" s="402">
        <v>33116.81</v>
      </c>
      <c r="S180" s="402">
        <v>242.32</v>
      </c>
      <c r="T180" s="402">
        <v>3546.98</v>
      </c>
      <c r="U180" s="402">
        <v>8249.41</v>
      </c>
      <c r="V180" s="402">
        <v>83768.539999999994</v>
      </c>
      <c r="W180" s="402">
        <v>18681.419999999998</v>
      </c>
      <c r="X180" s="402">
        <v>31949.83</v>
      </c>
      <c r="Y180" s="402">
        <v>23912.78</v>
      </c>
      <c r="Z180" s="402">
        <v>30360.18</v>
      </c>
      <c r="AA180" s="402">
        <v>710509.49</v>
      </c>
    </row>
    <row r="181" spans="10:27" ht="15" customHeight="1" x14ac:dyDescent="0.25">
      <c r="J181" s="400" t="s">
        <v>336</v>
      </c>
      <c r="K181" s="404" t="s">
        <v>628</v>
      </c>
      <c r="L181" s="402" t="s">
        <v>629</v>
      </c>
      <c r="M181" s="402">
        <v>26789.38</v>
      </c>
      <c r="N181" s="402">
        <v>53539</v>
      </c>
      <c r="O181" s="402">
        <v>3923</v>
      </c>
      <c r="P181" s="402">
        <v>360</v>
      </c>
      <c r="Q181" s="402">
        <v>368</v>
      </c>
      <c r="R181" s="402">
        <v>6521.8</v>
      </c>
      <c r="S181" s="402">
        <v>2125</v>
      </c>
      <c r="T181" s="402">
        <v>0</v>
      </c>
      <c r="U181" s="402">
        <v>0</v>
      </c>
      <c r="V181" s="402">
        <v>4511.58</v>
      </c>
      <c r="W181" s="402">
        <v>2180</v>
      </c>
      <c r="X181" s="402">
        <v>6170</v>
      </c>
      <c r="Y181" s="402">
        <v>530</v>
      </c>
      <c r="Z181" s="402">
        <v>100</v>
      </c>
      <c r="AA181" s="402">
        <v>26789.38</v>
      </c>
    </row>
    <row r="182" spans="10:27" ht="15" customHeight="1" x14ac:dyDescent="0.25">
      <c r="J182" s="400" t="s">
        <v>336</v>
      </c>
      <c r="K182" s="404" t="s">
        <v>630</v>
      </c>
      <c r="L182" s="402" t="s">
        <v>631</v>
      </c>
      <c r="M182" s="402">
        <v>115804.414</v>
      </c>
      <c r="N182" s="402">
        <v>111378.58560000001</v>
      </c>
      <c r="O182" s="402">
        <v>9913.81</v>
      </c>
      <c r="P182" s="402">
        <v>9913.81</v>
      </c>
      <c r="Q182" s="402">
        <v>9913.81</v>
      </c>
      <c r="R182" s="402">
        <v>9913.81</v>
      </c>
      <c r="S182" s="402">
        <v>9913.81</v>
      </c>
      <c r="T182" s="402">
        <v>9277.61</v>
      </c>
      <c r="U182" s="402">
        <v>10550.01</v>
      </c>
      <c r="V182" s="402">
        <v>9281.5488000000005</v>
      </c>
      <c r="W182" s="402">
        <v>9281.5488000000005</v>
      </c>
      <c r="X182" s="402">
        <v>9281.5488000000005</v>
      </c>
      <c r="Y182" s="402">
        <v>9281.5488000000005</v>
      </c>
      <c r="Z182" s="402">
        <v>9281.5488000000005</v>
      </c>
      <c r="AA182" s="402">
        <v>115804.414</v>
      </c>
    </row>
    <row r="183" spans="10:27" ht="15" customHeight="1" x14ac:dyDescent="0.25">
      <c r="J183" s="400" t="s">
        <v>336</v>
      </c>
      <c r="K183" s="404" t="s">
        <v>632</v>
      </c>
      <c r="L183" s="402" t="s">
        <v>633</v>
      </c>
      <c r="M183" s="402">
        <v>4726241.9400000004</v>
      </c>
      <c r="N183" s="402">
        <v>4640541</v>
      </c>
      <c r="O183" s="402">
        <v>389553.84</v>
      </c>
      <c r="P183" s="402">
        <v>389567.59</v>
      </c>
      <c r="Q183" s="402">
        <v>394005.8</v>
      </c>
      <c r="R183" s="402">
        <v>394005.8</v>
      </c>
      <c r="S183" s="402">
        <v>393098.83</v>
      </c>
      <c r="T183" s="402">
        <v>394912.76</v>
      </c>
      <c r="U183" s="402">
        <v>400817.32</v>
      </c>
      <c r="V183" s="402">
        <v>394056</v>
      </c>
      <c r="W183" s="402">
        <v>394056</v>
      </c>
      <c r="X183" s="402">
        <v>394056</v>
      </c>
      <c r="Y183" s="402">
        <v>394056</v>
      </c>
      <c r="Z183" s="402">
        <v>394056</v>
      </c>
      <c r="AA183" s="402">
        <v>4726241.9400000004</v>
      </c>
    </row>
    <row r="184" spans="10:27" ht="15" customHeight="1" x14ac:dyDescent="0.25">
      <c r="J184" s="400" t="s">
        <v>336</v>
      </c>
      <c r="K184" s="404" t="s">
        <v>634</v>
      </c>
      <c r="L184" s="402" t="s">
        <v>635</v>
      </c>
      <c r="M184" s="402">
        <v>187170.27</v>
      </c>
      <c r="N184" s="402">
        <v>187920</v>
      </c>
      <c r="O184" s="402">
        <v>16184.38</v>
      </c>
      <c r="P184" s="402">
        <v>16184.38</v>
      </c>
      <c r="Q184" s="402">
        <v>16184.38</v>
      </c>
      <c r="R184" s="402">
        <v>16184.38</v>
      </c>
      <c r="S184" s="402">
        <v>16184.38</v>
      </c>
      <c r="T184" s="402">
        <v>16184.38</v>
      </c>
      <c r="U184" s="402">
        <v>11763.99</v>
      </c>
      <c r="V184" s="402">
        <v>15660</v>
      </c>
      <c r="W184" s="402">
        <v>15660</v>
      </c>
      <c r="X184" s="402">
        <v>15660</v>
      </c>
      <c r="Y184" s="402">
        <v>15660</v>
      </c>
      <c r="Z184" s="402">
        <v>15660</v>
      </c>
      <c r="AA184" s="402">
        <v>187170.27</v>
      </c>
    </row>
    <row r="185" spans="10:27" ht="15" customHeight="1" x14ac:dyDescent="0.25">
      <c r="J185" s="400" t="s">
        <v>336</v>
      </c>
      <c r="K185" s="404" t="s">
        <v>636</v>
      </c>
      <c r="L185" s="402" t="s">
        <v>637</v>
      </c>
      <c r="M185" s="402">
        <v>18485.8733335</v>
      </c>
      <c r="N185" s="402">
        <v>19763.000000399999</v>
      </c>
      <c r="O185" s="402">
        <v>1464.47</v>
      </c>
      <c r="P185" s="402">
        <v>1464.47</v>
      </c>
      <c r="Q185" s="402">
        <v>1464.47</v>
      </c>
      <c r="R185" s="402">
        <v>1464.47</v>
      </c>
      <c r="S185" s="402">
        <v>1464.47</v>
      </c>
      <c r="T185" s="402">
        <v>1464.47</v>
      </c>
      <c r="U185" s="402">
        <v>1464.47</v>
      </c>
      <c r="V185" s="402">
        <v>1646.9166667</v>
      </c>
      <c r="W185" s="402">
        <v>1646.9166667</v>
      </c>
      <c r="X185" s="402">
        <v>1646.9166667</v>
      </c>
      <c r="Y185" s="402">
        <v>1646.9166667</v>
      </c>
      <c r="Z185" s="402">
        <v>1646.9166667</v>
      </c>
      <c r="AA185" s="402">
        <v>18485.8733335</v>
      </c>
    </row>
    <row r="186" spans="10:27" ht="15" customHeight="1" x14ac:dyDescent="0.25">
      <c r="J186" s="400" t="s">
        <v>336</v>
      </c>
      <c r="K186" s="404" t="s">
        <v>638</v>
      </c>
      <c r="L186" s="402" t="s">
        <v>639</v>
      </c>
      <c r="M186" s="402">
        <v>1813235.2520443001</v>
      </c>
      <c r="N186" s="402">
        <v>1755720.499911</v>
      </c>
      <c r="O186" s="402">
        <v>137316.88</v>
      </c>
      <c r="P186" s="402">
        <v>151762.60999999999</v>
      </c>
      <c r="Q186" s="402">
        <v>151320.97</v>
      </c>
      <c r="R186" s="402">
        <v>151456.71</v>
      </c>
      <c r="S186" s="402">
        <v>152460.14000000001</v>
      </c>
      <c r="T186" s="402">
        <v>152079.63</v>
      </c>
      <c r="U186" s="402">
        <v>152079.63</v>
      </c>
      <c r="V186" s="402">
        <v>148727.03253699999</v>
      </c>
      <c r="W186" s="402">
        <v>150684.74783800001</v>
      </c>
      <c r="X186" s="402">
        <v>154264.22903630001</v>
      </c>
      <c r="Y186" s="402">
        <v>155143.09314889999</v>
      </c>
      <c r="Z186" s="402">
        <v>155939.57948409999</v>
      </c>
      <c r="AA186" s="402">
        <v>1813235.2520443001</v>
      </c>
    </row>
    <row r="187" spans="10:27" ht="15" customHeight="1" x14ac:dyDescent="0.25">
      <c r="J187" s="400" t="s">
        <v>336</v>
      </c>
      <c r="K187" s="404" t="s">
        <v>640</v>
      </c>
      <c r="L187" s="402" t="s">
        <v>641</v>
      </c>
      <c r="M187" s="402">
        <v>2551807.46</v>
      </c>
      <c r="N187" s="402">
        <v>2541574</v>
      </c>
      <c r="O187" s="402">
        <v>201457.93</v>
      </c>
      <c r="P187" s="402">
        <v>220264.3</v>
      </c>
      <c r="Q187" s="402">
        <v>227192.7</v>
      </c>
      <c r="R187" s="402">
        <v>237562.31</v>
      </c>
      <c r="S187" s="402">
        <v>6937.61</v>
      </c>
      <c r="T187" s="402">
        <v>346720.58</v>
      </c>
      <c r="U187" s="402">
        <v>238188.03</v>
      </c>
      <c r="V187" s="402">
        <v>221540</v>
      </c>
      <c r="W187" s="402">
        <v>203530</v>
      </c>
      <c r="X187" s="402">
        <v>261125</v>
      </c>
      <c r="Y187" s="402">
        <v>176985</v>
      </c>
      <c r="Z187" s="402">
        <v>210304</v>
      </c>
      <c r="AA187" s="402">
        <v>2551807.46</v>
      </c>
    </row>
    <row r="188" spans="10:27" ht="15" customHeight="1" x14ac:dyDescent="0.25">
      <c r="J188" s="400" t="s">
        <v>336</v>
      </c>
      <c r="K188" s="404" t="s">
        <v>642</v>
      </c>
      <c r="L188" s="402" t="s">
        <v>643</v>
      </c>
      <c r="M188" s="402">
        <v>575389</v>
      </c>
      <c r="N188" s="402">
        <v>612468</v>
      </c>
      <c r="O188" s="402">
        <v>45742</v>
      </c>
      <c r="P188" s="402">
        <v>45742</v>
      </c>
      <c r="Q188" s="402">
        <v>45742</v>
      </c>
      <c r="R188" s="402">
        <v>45742</v>
      </c>
      <c r="S188" s="402">
        <v>45742</v>
      </c>
      <c r="T188" s="402">
        <v>45742</v>
      </c>
      <c r="U188" s="402">
        <v>45742</v>
      </c>
      <c r="V188" s="402">
        <v>51039</v>
      </c>
      <c r="W188" s="402">
        <v>51039</v>
      </c>
      <c r="X188" s="402">
        <v>51039</v>
      </c>
      <c r="Y188" s="402">
        <v>51039</v>
      </c>
      <c r="Z188" s="402">
        <v>51039</v>
      </c>
      <c r="AA188" s="402">
        <v>575389</v>
      </c>
    </row>
    <row r="189" spans="10:27" ht="15" customHeight="1" x14ac:dyDescent="0.25">
      <c r="J189" s="400" t="s">
        <v>336</v>
      </c>
      <c r="K189" s="404" t="s">
        <v>644</v>
      </c>
      <c r="L189" s="402" t="s">
        <v>645</v>
      </c>
      <c r="M189" s="402">
        <v>3694995.8655869002</v>
      </c>
      <c r="N189" s="402">
        <v>3602079.7785298</v>
      </c>
      <c r="O189" s="402">
        <v>279486.96999999997</v>
      </c>
      <c r="P189" s="402">
        <v>303073.31</v>
      </c>
      <c r="Q189" s="402">
        <v>303187</v>
      </c>
      <c r="R189" s="402">
        <v>303288.46999999997</v>
      </c>
      <c r="S189" s="402">
        <v>304283.59000000003</v>
      </c>
      <c r="T189" s="402">
        <v>304393.98</v>
      </c>
      <c r="U189" s="402">
        <v>304393.98</v>
      </c>
      <c r="V189" s="402">
        <v>317946.5648933</v>
      </c>
      <c r="W189" s="402">
        <v>316111.62603440002</v>
      </c>
      <c r="X189" s="402">
        <v>318170.93417840003</v>
      </c>
      <c r="Y189" s="402">
        <v>319173.60962140001</v>
      </c>
      <c r="Z189" s="402">
        <v>321485.83085939998</v>
      </c>
      <c r="AA189" s="402">
        <v>3694995.8655869002</v>
      </c>
    </row>
    <row r="190" spans="10:27" ht="15" customHeight="1" x14ac:dyDescent="0.2">
      <c r="J190" s="392" t="s">
        <v>336</v>
      </c>
      <c r="K190" s="403" t="s">
        <v>646</v>
      </c>
      <c r="L190" s="392" t="s">
        <v>647</v>
      </c>
      <c r="M190" s="393">
        <v>12314643.4397467</v>
      </c>
      <c r="N190" s="393">
        <v>13814808.09</v>
      </c>
      <c r="O190" s="393">
        <v>1168887.28</v>
      </c>
      <c r="P190" s="393">
        <v>1248053.3400000001</v>
      </c>
      <c r="Q190" s="393">
        <v>950941.94</v>
      </c>
      <c r="R190" s="393">
        <v>1023340.98</v>
      </c>
      <c r="S190" s="393">
        <v>1270813.01</v>
      </c>
      <c r="T190" s="393">
        <v>744952.17</v>
      </c>
      <c r="U190" s="393">
        <v>918163.76</v>
      </c>
      <c r="V190" s="393">
        <v>936186.67842869996</v>
      </c>
      <c r="W190" s="393">
        <v>915026.64379749994</v>
      </c>
      <c r="X190" s="393">
        <v>1164606.2149228</v>
      </c>
      <c r="Y190" s="393">
        <v>930125.6516016</v>
      </c>
      <c r="Z190" s="393">
        <v>1043545.7709961</v>
      </c>
      <c r="AA190" s="393">
        <v>12314643.4397467</v>
      </c>
    </row>
    <row r="191" spans="10:27" ht="15" customHeight="1" x14ac:dyDescent="0.25">
      <c r="J191" s="400" t="s">
        <v>336</v>
      </c>
      <c r="K191" s="404" t="s">
        <v>648</v>
      </c>
      <c r="L191" s="402" t="s">
        <v>649</v>
      </c>
      <c r="M191" s="402">
        <v>1208692.46</v>
      </c>
      <c r="N191" s="402">
        <v>600000</v>
      </c>
      <c r="O191" s="402">
        <v>90288.02</v>
      </c>
      <c r="P191" s="402">
        <v>103664.79</v>
      </c>
      <c r="Q191" s="402">
        <v>22177.14</v>
      </c>
      <c r="R191" s="402">
        <v>88385.64</v>
      </c>
      <c r="S191" s="402">
        <v>435596.98</v>
      </c>
      <c r="T191" s="402">
        <v>-137467.29999999999</v>
      </c>
      <c r="U191" s="402">
        <v>0</v>
      </c>
      <c r="V191" s="402">
        <v>200000</v>
      </c>
      <c r="W191" s="402">
        <v>0</v>
      </c>
      <c r="X191" s="402">
        <v>200000</v>
      </c>
      <c r="Y191" s="402">
        <v>0</v>
      </c>
      <c r="Z191" s="402">
        <v>206047.19</v>
      </c>
      <c r="AA191" s="402">
        <v>1208692.46</v>
      </c>
    </row>
    <row r="192" spans="10:27" ht="15" customHeight="1" x14ac:dyDescent="0.25">
      <c r="J192" s="400" t="s">
        <v>336</v>
      </c>
      <c r="K192" s="404" t="s">
        <v>650</v>
      </c>
      <c r="L192" s="402" t="s">
        <v>651</v>
      </c>
      <c r="M192" s="402">
        <v>92236.39</v>
      </c>
      <c r="N192" s="402">
        <v>89500</v>
      </c>
      <c r="O192" s="402">
        <v>6769.99</v>
      </c>
      <c r="P192" s="402">
        <v>7700.01</v>
      </c>
      <c r="Q192" s="402">
        <v>6464.21</v>
      </c>
      <c r="R192" s="402">
        <v>6791.17</v>
      </c>
      <c r="S192" s="402">
        <v>8138.23</v>
      </c>
      <c r="T192" s="402">
        <v>8343.6</v>
      </c>
      <c r="U192" s="402">
        <v>9529.18</v>
      </c>
      <c r="V192" s="402">
        <v>8500</v>
      </c>
      <c r="W192" s="402">
        <v>8000</v>
      </c>
      <c r="X192" s="402">
        <v>8000</v>
      </c>
      <c r="Y192" s="402">
        <v>7000</v>
      </c>
      <c r="Z192" s="402">
        <v>7000</v>
      </c>
      <c r="AA192" s="402">
        <v>92236.39</v>
      </c>
    </row>
    <row r="193" spans="10:27" ht="15" customHeight="1" x14ac:dyDescent="0.25">
      <c r="J193" s="400" t="s">
        <v>336</v>
      </c>
      <c r="K193" s="404" t="s">
        <v>652</v>
      </c>
      <c r="L193" s="402" t="s">
        <v>653</v>
      </c>
      <c r="M193" s="402">
        <v>38.68</v>
      </c>
      <c r="N193" s="402">
        <v>0</v>
      </c>
      <c r="O193" s="402">
        <v>0</v>
      </c>
      <c r="P193" s="402">
        <v>0</v>
      </c>
      <c r="Q193" s="402">
        <v>0</v>
      </c>
      <c r="R193" s="402">
        <v>26.2</v>
      </c>
      <c r="S193" s="402">
        <v>12.48</v>
      </c>
      <c r="T193" s="402">
        <v>0</v>
      </c>
      <c r="U193" s="402">
        <v>0</v>
      </c>
      <c r="V193" s="402">
        <v>0</v>
      </c>
      <c r="W193" s="402">
        <v>0</v>
      </c>
      <c r="X193" s="402">
        <v>0</v>
      </c>
      <c r="Y193" s="402">
        <v>0</v>
      </c>
      <c r="Z193" s="402">
        <v>0</v>
      </c>
      <c r="AA193" s="402">
        <v>38.68</v>
      </c>
    </row>
    <row r="194" spans="10:27" ht="15" customHeight="1" x14ac:dyDescent="0.25">
      <c r="J194" s="400" t="s">
        <v>336</v>
      </c>
      <c r="K194" s="404" t="s">
        <v>654</v>
      </c>
      <c r="L194" s="402" t="s">
        <v>655</v>
      </c>
      <c r="M194" s="402">
        <v>121970.76</v>
      </c>
      <c r="N194" s="402">
        <v>135252</v>
      </c>
      <c r="O194" s="402">
        <v>10164.23</v>
      </c>
      <c r="P194" s="402">
        <v>10164.23</v>
      </c>
      <c r="Q194" s="402">
        <v>10164.23</v>
      </c>
      <c r="R194" s="402">
        <v>10164.23</v>
      </c>
      <c r="S194" s="402">
        <v>10164.23</v>
      </c>
      <c r="T194" s="402">
        <v>10164.23</v>
      </c>
      <c r="U194" s="402">
        <v>10164.23</v>
      </c>
      <c r="V194" s="402">
        <v>10164.23</v>
      </c>
      <c r="W194" s="402">
        <v>10164.23</v>
      </c>
      <c r="X194" s="402">
        <v>10164.23</v>
      </c>
      <c r="Y194" s="402">
        <v>10164.23</v>
      </c>
      <c r="Z194" s="402">
        <v>10164.23</v>
      </c>
      <c r="AA194" s="402">
        <v>121970.76</v>
      </c>
    </row>
    <row r="195" spans="10:27" ht="15" customHeight="1" x14ac:dyDescent="0.25">
      <c r="J195" s="400" t="s">
        <v>336</v>
      </c>
      <c r="K195" s="404" t="s">
        <v>656</v>
      </c>
      <c r="L195" s="402" t="s">
        <v>657</v>
      </c>
      <c r="M195" s="402">
        <v>30101.819746699999</v>
      </c>
      <c r="N195" s="402">
        <v>355945.2</v>
      </c>
      <c r="O195" s="402">
        <v>678.32</v>
      </c>
      <c r="P195" s="402">
        <v>11261.1</v>
      </c>
      <c r="Q195" s="402">
        <v>208.71</v>
      </c>
      <c r="R195" s="402">
        <v>-60.98</v>
      </c>
      <c r="S195" s="402">
        <v>0</v>
      </c>
      <c r="T195" s="402">
        <v>0</v>
      </c>
      <c r="U195" s="402">
        <v>641.73</v>
      </c>
      <c r="V195" s="402">
        <v>1496.0584286999999</v>
      </c>
      <c r="W195" s="402">
        <v>1430.9837975</v>
      </c>
      <c r="X195" s="402">
        <v>1451.5749228</v>
      </c>
      <c r="Y195" s="402">
        <v>11540.571601600001</v>
      </c>
      <c r="Z195" s="402">
        <v>1453.7509961000001</v>
      </c>
      <c r="AA195" s="402">
        <v>30101.819746699999</v>
      </c>
    </row>
    <row r="196" spans="10:27" ht="15" customHeight="1" x14ac:dyDescent="0.25">
      <c r="J196" s="400" t="s">
        <v>336</v>
      </c>
      <c r="K196" s="404" t="s">
        <v>658</v>
      </c>
      <c r="L196" s="402" t="s">
        <v>659</v>
      </c>
      <c r="M196" s="402">
        <v>532366.19999999995</v>
      </c>
      <c r="N196" s="402">
        <v>3400000</v>
      </c>
      <c r="O196" s="402">
        <v>0</v>
      </c>
      <c r="P196" s="402">
        <v>0</v>
      </c>
      <c r="Q196" s="402">
        <v>0</v>
      </c>
      <c r="R196" s="402">
        <v>0</v>
      </c>
      <c r="S196" s="402">
        <v>0</v>
      </c>
      <c r="T196" s="402">
        <v>0</v>
      </c>
      <c r="U196" s="402">
        <v>0</v>
      </c>
      <c r="V196" s="402">
        <v>0</v>
      </c>
      <c r="W196" s="402">
        <v>137236.20000000001</v>
      </c>
      <c r="X196" s="402">
        <v>160110</v>
      </c>
      <c r="Y196" s="402">
        <v>162510</v>
      </c>
      <c r="Z196" s="402">
        <v>72510</v>
      </c>
      <c r="AA196" s="402">
        <v>532366.19999999995</v>
      </c>
    </row>
    <row r="197" spans="10:27" ht="15" customHeight="1" x14ac:dyDescent="0.25">
      <c r="J197" s="400" t="s">
        <v>336</v>
      </c>
      <c r="K197" s="404" t="s">
        <v>660</v>
      </c>
      <c r="L197" s="402" t="s">
        <v>661</v>
      </c>
      <c r="M197" s="402">
        <v>84089.95</v>
      </c>
      <c r="N197" s="402">
        <v>98000</v>
      </c>
      <c r="O197" s="402">
        <v>0</v>
      </c>
      <c r="P197" s="402">
        <v>0</v>
      </c>
      <c r="Q197" s="402">
        <v>0</v>
      </c>
      <c r="R197" s="402">
        <v>0</v>
      </c>
      <c r="S197" s="402">
        <v>0</v>
      </c>
      <c r="T197" s="402">
        <v>0</v>
      </c>
      <c r="U197" s="402">
        <v>14089.95</v>
      </c>
      <c r="V197" s="402">
        <v>8000</v>
      </c>
      <c r="W197" s="402">
        <v>29000</v>
      </c>
      <c r="X197" s="402">
        <v>10000</v>
      </c>
      <c r="Y197" s="402">
        <v>11000</v>
      </c>
      <c r="Z197" s="402">
        <v>12000</v>
      </c>
      <c r="AA197" s="402">
        <v>84089.95</v>
      </c>
    </row>
    <row r="198" spans="10:27" ht="15" customHeight="1" x14ac:dyDescent="0.25">
      <c r="J198" s="400" t="s">
        <v>336</v>
      </c>
      <c r="K198" s="404" t="s">
        <v>662</v>
      </c>
      <c r="L198" s="402" t="s">
        <v>663</v>
      </c>
      <c r="M198" s="402">
        <v>8746795.5800000001</v>
      </c>
      <c r="N198" s="402">
        <v>8450876</v>
      </c>
      <c r="O198" s="402">
        <v>866809.68</v>
      </c>
      <c r="P198" s="402">
        <v>917101.5</v>
      </c>
      <c r="Q198" s="402">
        <v>688825.88</v>
      </c>
      <c r="R198" s="402">
        <v>679902.68</v>
      </c>
      <c r="S198" s="402">
        <v>751111.69</v>
      </c>
      <c r="T198" s="402">
        <v>789429.6</v>
      </c>
      <c r="U198" s="402">
        <v>706727.55</v>
      </c>
      <c r="V198" s="402">
        <v>648486</v>
      </c>
      <c r="W198" s="402">
        <v>648486</v>
      </c>
      <c r="X198" s="402">
        <v>683305</v>
      </c>
      <c r="Y198" s="402">
        <v>683305</v>
      </c>
      <c r="Z198" s="402">
        <v>683305</v>
      </c>
      <c r="AA198" s="402">
        <v>8746795.5800000001</v>
      </c>
    </row>
    <row r="199" spans="10:27" ht="15" customHeight="1" x14ac:dyDescent="0.25">
      <c r="J199" s="400" t="s">
        <v>336</v>
      </c>
      <c r="K199" s="404" t="s">
        <v>664</v>
      </c>
      <c r="L199" s="402" t="s">
        <v>665</v>
      </c>
      <c r="M199" s="402">
        <v>208493.74</v>
      </c>
      <c r="N199" s="402">
        <v>202740</v>
      </c>
      <c r="O199" s="402">
        <v>19334.689999999999</v>
      </c>
      <c r="P199" s="402">
        <v>19337.43</v>
      </c>
      <c r="Q199" s="402">
        <v>16616.939999999999</v>
      </c>
      <c r="R199" s="402">
        <v>16501.25</v>
      </c>
      <c r="S199" s="402">
        <v>17554.07</v>
      </c>
      <c r="T199" s="402">
        <v>18005.09</v>
      </c>
      <c r="U199" s="402">
        <v>17260.27</v>
      </c>
      <c r="V199" s="402">
        <v>16424</v>
      </c>
      <c r="W199" s="402">
        <v>16424</v>
      </c>
      <c r="X199" s="402">
        <v>17012</v>
      </c>
      <c r="Y199" s="402">
        <v>17012</v>
      </c>
      <c r="Z199" s="402">
        <v>17012</v>
      </c>
      <c r="AA199" s="402">
        <v>208493.74</v>
      </c>
    </row>
    <row r="200" spans="10:27" ht="15" customHeight="1" x14ac:dyDescent="0.25">
      <c r="J200" s="400" t="s">
        <v>336</v>
      </c>
      <c r="K200" s="404" t="s">
        <v>666</v>
      </c>
      <c r="L200" s="402" t="s">
        <v>667</v>
      </c>
      <c r="M200" s="402">
        <v>18505.03</v>
      </c>
      <c r="N200" s="402">
        <v>0</v>
      </c>
      <c r="O200" s="402">
        <v>7372.44</v>
      </c>
      <c r="P200" s="402">
        <v>2433.52</v>
      </c>
      <c r="Q200" s="402">
        <v>56.58</v>
      </c>
      <c r="R200" s="402">
        <v>0</v>
      </c>
      <c r="S200" s="402">
        <v>0</v>
      </c>
      <c r="T200" s="402">
        <v>8642.49</v>
      </c>
      <c r="U200" s="402">
        <v>0</v>
      </c>
      <c r="V200" s="402">
        <v>0</v>
      </c>
      <c r="W200" s="402">
        <v>0</v>
      </c>
      <c r="X200" s="402">
        <v>0</v>
      </c>
      <c r="Y200" s="402">
        <v>0</v>
      </c>
      <c r="Z200" s="402">
        <v>0</v>
      </c>
      <c r="AA200" s="402">
        <v>18505.03</v>
      </c>
    </row>
    <row r="201" spans="10:27" ht="15" customHeight="1" x14ac:dyDescent="0.25">
      <c r="J201" s="400" t="s">
        <v>336</v>
      </c>
      <c r="K201" s="404" t="s">
        <v>668</v>
      </c>
      <c r="L201" s="402" t="s">
        <v>669</v>
      </c>
      <c r="M201" s="402">
        <v>498520.13</v>
      </c>
      <c r="N201" s="402">
        <v>0</v>
      </c>
      <c r="O201" s="402">
        <v>70957.37</v>
      </c>
      <c r="P201" s="402">
        <v>108977.12</v>
      </c>
      <c r="Q201" s="402">
        <v>71366.880000000005</v>
      </c>
      <c r="R201" s="402">
        <v>134718.04</v>
      </c>
      <c r="S201" s="402">
        <v>0</v>
      </c>
      <c r="T201" s="402">
        <v>4015.32</v>
      </c>
      <c r="U201" s="402">
        <v>108485.4</v>
      </c>
      <c r="V201" s="402">
        <v>0</v>
      </c>
      <c r="W201" s="402">
        <v>0</v>
      </c>
      <c r="X201" s="402">
        <v>0</v>
      </c>
      <c r="Y201" s="402">
        <v>0</v>
      </c>
      <c r="Z201" s="402">
        <v>0</v>
      </c>
      <c r="AA201" s="402">
        <v>498520.13</v>
      </c>
    </row>
    <row r="202" spans="10:27" ht="15" customHeight="1" x14ac:dyDescent="0.25">
      <c r="J202" s="400" t="s">
        <v>336</v>
      </c>
      <c r="K202" s="404" t="s">
        <v>670</v>
      </c>
      <c r="L202" s="402" t="s">
        <v>671</v>
      </c>
      <c r="M202" s="402">
        <v>9735.02</v>
      </c>
      <c r="N202" s="402">
        <v>0</v>
      </c>
      <c r="O202" s="402">
        <v>1517.43</v>
      </c>
      <c r="P202" s="402">
        <v>1583.01</v>
      </c>
      <c r="Q202" s="402">
        <v>1437.43</v>
      </c>
      <c r="R202" s="402">
        <v>2326.09</v>
      </c>
      <c r="S202" s="402">
        <v>0</v>
      </c>
      <c r="T202" s="402">
        <v>60.14</v>
      </c>
      <c r="U202" s="402">
        <v>2810.92</v>
      </c>
      <c r="V202" s="402">
        <v>0</v>
      </c>
      <c r="W202" s="402">
        <v>0</v>
      </c>
      <c r="X202" s="402">
        <v>0</v>
      </c>
      <c r="Y202" s="402">
        <v>0</v>
      </c>
      <c r="Z202" s="402">
        <v>0</v>
      </c>
      <c r="AA202" s="402">
        <v>9735.02</v>
      </c>
    </row>
    <row r="203" spans="10:27" ht="15" customHeight="1" x14ac:dyDescent="0.25">
      <c r="J203" s="400" t="s">
        <v>336</v>
      </c>
      <c r="K203" s="404" t="s">
        <v>672</v>
      </c>
      <c r="L203" s="402" t="s">
        <v>673</v>
      </c>
      <c r="M203" s="402">
        <v>340872.51</v>
      </c>
      <c r="N203" s="402">
        <v>473494.89</v>
      </c>
      <c r="O203" s="402">
        <v>16412.45</v>
      </c>
      <c r="P203" s="402">
        <v>1372.77</v>
      </c>
      <c r="Q203" s="402">
        <v>66563.179999999993</v>
      </c>
      <c r="R203" s="402">
        <v>19929.009999999998</v>
      </c>
      <c r="S203" s="402">
        <v>-3267.38</v>
      </c>
      <c r="T203" s="402">
        <v>0</v>
      </c>
      <c r="U203" s="402">
        <v>0</v>
      </c>
      <c r="V203" s="402">
        <v>42366.39</v>
      </c>
      <c r="W203" s="402">
        <v>63535.23</v>
      </c>
      <c r="X203" s="402">
        <v>73813.41</v>
      </c>
      <c r="Y203" s="402">
        <v>26843.85</v>
      </c>
      <c r="Z203" s="402">
        <v>33303.599999999999</v>
      </c>
      <c r="AA203" s="402">
        <v>340872.51</v>
      </c>
    </row>
    <row r="204" spans="10:27" ht="15" customHeight="1" x14ac:dyDescent="0.25">
      <c r="J204" s="400" t="s">
        <v>336</v>
      </c>
      <c r="K204" s="404" t="s">
        <v>674</v>
      </c>
      <c r="L204" s="402" t="s">
        <v>675</v>
      </c>
      <c r="M204" s="402">
        <v>422225.17</v>
      </c>
      <c r="N204" s="402">
        <v>9000</v>
      </c>
      <c r="O204" s="402">
        <v>78582.66</v>
      </c>
      <c r="P204" s="402">
        <v>64457.86</v>
      </c>
      <c r="Q204" s="402">
        <v>67060.759999999995</v>
      </c>
      <c r="R204" s="402">
        <v>64657.65</v>
      </c>
      <c r="S204" s="402">
        <v>51502.71</v>
      </c>
      <c r="T204" s="402">
        <v>43759</v>
      </c>
      <c r="U204" s="402">
        <v>48454.53</v>
      </c>
      <c r="V204" s="402">
        <v>750</v>
      </c>
      <c r="W204" s="402">
        <v>750</v>
      </c>
      <c r="X204" s="402">
        <v>750</v>
      </c>
      <c r="Y204" s="402">
        <v>750</v>
      </c>
      <c r="Z204" s="402">
        <v>750</v>
      </c>
      <c r="AA204" s="402">
        <v>422225.17</v>
      </c>
    </row>
    <row r="205" spans="10:27" ht="15" customHeight="1" x14ac:dyDescent="0.2">
      <c r="J205" s="392" t="s">
        <v>336</v>
      </c>
      <c r="K205" s="403" t="s">
        <v>676</v>
      </c>
      <c r="L205" s="392" t="s">
        <v>677</v>
      </c>
      <c r="M205" s="393">
        <v>1194238.3999999999</v>
      </c>
      <c r="N205" s="393">
        <v>0</v>
      </c>
      <c r="O205" s="393">
        <v>0</v>
      </c>
      <c r="P205" s="393">
        <v>0</v>
      </c>
      <c r="Q205" s="393">
        <v>0</v>
      </c>
      <c r="R205" s="393">
        <v>0</v>
      </c>
      <c r="S205" s="393">
        <v>53.4</v>
      </c>
      <c r="T205" s="393">
        <v>0</v>
      </c>
      <c r="U205" s="393">
        <v>0</v>
      </c>
      <c r="V205" s="393">
        <v>0</v>
      </c>
      <c r="W205" s="393">
        <v>293652</v>
      </c>
      <c r="X205" s="393">
        <v>303440</v>
      </c>
      <c r="Y205" s="393">
        <v>293652</v>
      </c>
      <c r="Z205" s="393">
        <v>303441</v>
      </c>
      <c r="AA205" s="393">
        <v>1194238.3999999999</v>
      </c>
    </row>
    <row r="206" spans="10:27" ht="15" customHeight="1" x14ac:dyDescent="0.25">
      <c r="J206" s="400" t="s">
        <v>336</v>
      </c>
      <c r="K206" s="404" t="s">
        <v>678</v>
      </c>
      <c r="L206" s="402" t="s">
        <v>679</v>
      </c>
      <c r="M206" s="402">
        <v>53.4</v>
      </c>
      <c r="N206" s="402">
        <v>0</v>
      </c>
      <c r="O206" s="402">
        <v>0</v>
      </c>
      <c r="P206" s="402">
        <v>0</v>
      </c>
      <c r="Q206" s="402">
        <v>0</v>
      </c>
      <c r="R206" s="402">
        <v>0</v>
      </c>
      <c r="S206" s="402">
        <v>53.4</v>
      </c>
      <c r="T206" s="402">
        <v>0</v>
      </c>
      <c r="U206" s="402">
        <v>0</v>
      </c>
      <c r="V206" s="402">
        <v>0</v>
      </c>
      <c r="W206" s="402">
        <v>0</v>
      </c>
      <c r="X206" s="402">
        <v>0</v>
      </c>
      <c r="Y206" s="402">
        <v>0</v>
      </c>
      <c r="Z206" s="402">
        <v>0</v>
      </c>
      <c r="AA206" s="402">
        <v>53.4</v>
      </c>
    </row>
    <row r="207" spans="10:27" ht="15" customHeight="1" x14ac:dyDescent="0.25">
      <c r="J207" s="400" t="s">
        <v>336</v>
      </c>
      <c r="K207" s="404" t="s">
        <v>680</v>
      </c>
      <c r="L207" s="402" t="s">
        <v>681</v>
      </c>
      <c r="M207" s="402">
        <v>1194185</v>
      </c>
      <c r="N207" s="402">
        <v>0</v>
      </c>
      <c r="O207" s="402">
        <v>0</v>
      </c>
      <c r="P207" s="402">
        <v>0</v>
      </c>
      <c r="Q207" s="402">
        <v>0</v>
      </c>
      <c r="R207" s="402">
        <v>0</v>
      </c>
      <c r="S207" s="402">
        <v>0</v>
      </c>
      <c r="T207" s="402">
        <v>0</v>
      </c>
      <c r="U207" s="402">
        <v>0</v>
      </c>
      <c r="V207" s="402">
        <v>0</v>
      </c>
      <c r="W207" s="402">
        <v>293652</v>
      </c>
      <c r="X207" s="402">
        <v>303440</v>
      </c>
      <c r="Y207" s="402">
        <v>293652</v>
      </c>
      <c r="Z207" s="402">
        <v>303441</v>
      </c>
      <c r="AA207" s="402">
        <v>1194185</v>
      </c>
    </row>
    <row r="208" spans="10:27" ht="15" customHeight="1" x14ac:dyDescent="0.2">
      <c r="J208" s="392" t="s">
        <v>336</v>
      </c>
      <c r="K208" s="396" t="s">
        <v>682</v>
      </c>
      <c r="L208" s="392" t="s">
        <v>683</v>
      </c>
      <c r="M208" s="393">
        <v>1952112378.5582659</v>
      </c>
      <c r="N208" s="393">
        <v>2429430784.6130219</v>
      </c>
      <c r="O208" s="393">
        <v>147660268.22</v>
      </c>
      <c r="P208" s="393">
        <v>130978731.06999999</v>
      </c>
      <c r="Q208" s="393">
        <v>141131886.11000001</v>
      </c>
      <c r="R208" s="393">
        <v>154893089.12</v>
      </c>
      <c r="S208" s="393">
        <v>161317092.28999999</v>
      </c>
      <c r="T208" s="393">
        <v>168935998.75</v>
      </c>
      <c r="U208" s="393">
        <v>182823638</v>
      </c>
      <c r="V208" s="393">
        <v>180948420.05618289</v>
      </c>
      <c r="W208" s="393">
        <v>184903636.91109079</v>
      </c>
      <c r="X208" s="393">
        <v>171870279.876423</v>
      </c>
      <c r="Y208" s="393">
        <v>160947564.5230366</v>
      </c>
      <c r="Z208" s="393">
        <v>165701773.63153279</v>
      </c>
      <c r="AA208" s="393">
        <v>1952112378.5582659</v>
      </c>
    </row>
    <row r="209" spans="10:27" ht="15" customHeight="1" x14ac:dyDescent="0.2">
      <c r="J209" s="392" t="s">
        <v>336</v>
      </c>
      <c r="K209" s="397" t="s">
        <v>684</v>
      </c>
      <c r="L209" s="392" t="s">
        <v>685</v>
      </c>
      <c r="M209" s="393">
        <v>1293238830.3983469</v>
      </c>
      <c r="N209" s="393">
        <v>1751197243.8064308</v>
      </c>
      <c r="O209" s="393">
        <v>95226810.310000002</v>
      </c>
      <c r="P209" s="393">
        <v>79485812.730000004</v>
      </c>
      <c r="Q209" s="393">
        <v>89049717.420000002</v>
      </c>
      <c r="R209" s="393">
        <v>101000898.2</v>
      </c>
      <c r="S209" s="393">
        <v>106888003.95</v>
      </c>
      <c r="T209" s="393">
        <v>113358409.84999999</v>
      </c>
      <c r="U209" s="393">
        <v>125216105.45</v>
      </c>
      <c r="V209" s="393">
        <v>124029878.64776701</v>
      </c>
      <c r="W209" s="393">
        <v>127299340.0300228</v>
      </c>
      <c r="X209" s="393">
        <v>115121710.67461661</v>
      </c>
      <c r="Y209" s="393">
        <v>105879757.9140193</v>
      </c>
      <c r="Z209" s="393">
        <v>110682385.2219211</v>
      </c>
      <c r="AA209" s="393">
        <v>1293238830.3983469</v>
      </c>
    </row>
    <row r="210" spans="10:27" ht="15" customHeight="1" x14ac:dyDescent="0.2">
      <c r="J210" s="392" t="s">
        <v>336</v>
      </c>
      <c r="K210" s="398" t="s">
        <v>686</v>
      </c>
      <c r="L210" s="392" t="s">
        <v>687</v>
      </c>
      <c r="M210" s="393">
        <v>607549886.20666647</v>
      </c>
      <c r="N210" s="393">
        <v>1269833370.6921284</v>
      </c>
      <c r="O210" s="393">
        <v>56034903.359999999</v>
      </c>
      <c r="P210" s="393">
        <v>39056004.859999999</v>
      </c>
      <c r="Q210" s="393">
        <v>41489705.859999999</v>
      </c>
      <c r="R210" s="393">
        <v>41696046.829999998</v>
      </c>
      <c r="S210" s="393">
        <v>47558831.880000003</v>
      </c>
      <c r="T210" s="393">
        <v>49933472.840000004</v>
      </c>
      <c r="U210" s="393">
        <v>63724062.359999999</v>
      </c>
      <c r="V210" s="393">
        <v>65766414.443333298</v>
      </c>
      <c r="W210" s="393">
        <v>54430484.443333298</v>
      </c>
      <c r="X210" s="393">
        <v>48754666.443333298</v>
      </c>
      <c r="Y210" s="393">
        <v>44368393.443333298</v>
      </c>
      <c r="Z210" s="393">
        <v>54736899.443333298</v>
      </c>
      <c r="AA210" s="393">
        <v>607549886.20666647</v>
      </c>
    </row>
    <row r="211" spans="10:27" ht="15" customHeight="1" x14ac:dyDescent="0.25">
      <c r="J211" s="400" t="s">
        <v>336</v>
      </c>
      <c r="K211" s="407" t="s">
        <v>688</v>
      </c>
      <c r="L211" s="402" t="s">
        <v>689</v>
      </c>
      <c r="M211" s="402">
        <v>64989252.990000002</v>
      </c>
      <c r="N211" s="402">
        <v>390000000</v>
      </c>
      <c r="O211" s="402">
        <v>0</v>
      </c>
      <c r="P211" s="402">
        <v>0</v>
      </c>
      <c r="Q211" s="402">
        <v>0</v>
      </c>
      <c r="R211" s="402">
        <v>7221028.1100000003</v>
      </c>
      <c r="S211" s="402">
        <v>7221028.1100000003</v>
      </c>
      <c r="T211" s="402">
        <v>7221028.1100000003</v>
      </c>
      <c r="U211" s="402">
        <v>7221028.1100000003</v>
      </c>
      <c r="V211" s="402">
        <v>7221028.1100000003</v>
      </c>
      <c r="W211" s="402">
        <v>7221028.1100000003</v>
      </c>
      <c r="X211" s="402">
        <v>7221028.1100000003</v>
      </c>
      <c r="Y211" s="402">
        <v>7221028.1100000003</v>
      </c>
      <c r="Z211" s="402">
        <v>7221028.1100000003</v>
      </c>
      <c r="AA211" s="402">
        <v>64989252.990000002</v>
      </c>
    </row>
    <row r="212" spans="10:27" ht="15" customHeight="1" x14ac:dyDescent="0.25">
      <c r="J212" s="400" t="s">
        <v>336</v>
      </c>
      <c r="K212" s="407" t="s">
        <v>690</v>
      </c>
      <c r="L212" s="402" t="s">
        <v>691</v>
      </c>
      <c r="M212" s="402">
        <v>0</v>
      </c>
      <c r="N212" s="402">
        <v>-72768776.4479976</v>
      </c>
      <c r="O212" s="402">
        <v>0</v>
      </c>
      <c r="P212" s="402">
        <v>0</v>
      </c>
      <c r="Q212" s="402">
        <v>0</v>
      </c>
      <c r="R212" s="402">
        <v>0</v>
      </c>
      <c r="S212" s="402">
        <v>0</v>
      </c>
      <c r="T212" s="402">
        <v>0</v>
      </c>
      <c r="U212" s="402">
        <v>0</v>
      </c>
      <c r="V212" s="402">
        <v>0</v>
      </c>
      <c r="W212" s="402">
        <v>0</v>
      </c>
      <c r="X212" s="402">
        <v>0</v>
      </c>
      <c r="Y212" s="402">
        <v>0</v>
      </c>
      <c r="Z212" s="402">
        <v>0</v>
      </c>
      <c r="AA212" s="402">
        <v>0</v>
      </c>
    </row>
    <row r="213" spans="10:27" ht="15" customHeight="1" x14ac:dyDescent="0.25">
      <c r="J213" s="400" t="s">
        <v>336</v>
      </c>
      <c r="K213" s="407" t="s">
        <v>692</v>
      </c>
      <c r="L213" s="402" t="s">
        <v>693</v>
      </c>
      <c r="M213" s="402">
        <v>-5488980</v>
      </c>
      <c r="N213" s="402">
        <v>-1052393.8598740001</v>
      </c>
      <c r="O213" s="402">
        <v>-1794564</v>
      </c>
      <c r="P213" s="402">
        <v>-1735280</v>
      </c>
      <c r="Q213" s="402">
        <v>-176305</v>
      </c>
      <c r="R213" s="402">
        <v>-1433187</v>
      </c>
      <c r="S213" s="402">
        <v>-238942</v>
      </c>
      <c r="T213" s="402">
        <v>-110904</v>
      </c>
      <c r="U213" s="402">
        <v>202</v>
      </c>
      <c r="V213" s="402">
        <v>0</v>
      </c>
      <c r="W213" s="402">
        <v>0</v>
      </c>
      <c r="X213" s="402">
        <v>0</v>
      </c>
      <c r="Y213" s="402">
        <v>0</v>
      </c>
      <c r="Z213" s="402">
        <v>0</v>
      </c>
      <c r="AA213" s="402">
        <v>-5488980</v>
      </c>
    </row>
    <row r="214" spans="10:27" ht="15" customHeight="1" x14ac:dyDescent="0.25">
      <c r="J214" s="400" t="s">
        <v>336</v>
      </c>
      <c r="K214" s="407" t="s">
        <v>694</v>
      </c>
      <c r="L214" s="402" t="s">
        <v>695</v>
      </c>
      <c r="M214" s="402">
        <v>12864023.65</v>
      </c>
      <c r="N214" s="402">
        <v>40946546</v>
      </c>
      <c r="O214" s="402">
        <v>1506126.7</v>
      </c>
      <c r="P214" s="402">
        <v>1597333.3</v>
      </c>
      <c r="Q214" s="402">
        <v>6841588.2699999996</v>
      </c>
      <c r="R214" s="402">
        <v>1539012.42</v>
      </c>
      <c r="S214" s="402">
        <v>-9795.4500000000007</v>
      </c>
      <c r="T214" s="402">
        <v>92061.63</v>
      </c>
      <c r="U214" s="402">
        <v>1297696.78</v>
      </c>
      <c r="V214" s="402">
        <v>0</v>
      </c>
      <c r="W214" s="402">
        <v>0</v>
      </c>
      <c r="X214" s="402">
        <v>0</v>
      </c>
      <c r="Y214" s="402">
        <v>0</v>
      </c>
      <c r="Z214" s="402">
        <v>0</v>
      </c>
      <c r="AA214" s="402">
        <v>12864023.65</v>
      </c>
    </row>
    <row r="215" spans="10:27" ht="15" customHeight="1" x14ac:dyDescent="0.25">
      <c r="J215" s="400" t="s">
        <v>336</v>
      </c>
      <c r="K215" s="407" t="s">
        <v>696</v>
      </c>
      <c r="L215" s="402" t="s">
        <v>697</v>
      </c>
      <c r="M215" s="402">
        <v>302809478.24000001</v>
      </c>
      <c r="N215" s="402">
        <v>911573008</v>
      </c>
      <c r="O215" s="402">
        <v>56269554.159999996</v>
      </c>
      <c r="P215" s="402">
        <v>39163219.649999999</v>
      </c>
      <c r="Q215" s="402">
        <v>34754014.75</v>
      </c>
      <c r="R215" s="402">
        <v>34283579.530000001</v>
      </c>
      <c r="S215" s="402">
        <v>40526758.460000001</v>
      </c>
      <c r="T215" s="402">
        <v>42664227.950000003</v>
      </c>
      <c r="U215" s="402">
        <v>55148123.740000002</v>
      </c>
      <c r="V215" s="402">
        <v>0</v>
      </c>
      <c r="W215" s="402">
        <v>0</v>
      </c>
      <c r="X215" s="402">
        <v>0</v>
      </c>
      <c r="Y215" s="402">
        <v>0</v>
      </c>
      <c r="Z215" s="402">
        <v>0</v>
      </c>
      <c r="AA215" s="402">
        <v>302809478.24000001</v>
      </c>
    </row>
    <row r="216" spans="10:27" ht="15" customHeight="1" x14ac:dyDescent="0.25">
      <c r="J216" s="400" t="s">
        <v>336</v>
      </c>
      <c r="K216" s="407" t="s">
        <v>698</v>
      </c>
      <c r="L216" s="402" t="s">
        <v>699</v>
      </c>
      <c r="M216" s="402">
        <v>424405.26</v>
      </c>
      <c r="N216" s="402">
        <v>1135017</v>
      </c>
      <c r="O216" s="402">
        <v>53790.9</v>
      </c>
      <c r="P216" s="402">
        <v>30731.91</v>
      </c>
      <c r="Q216" s="402">
        <v>70407.839999999997</v>
      </c>
      <c r="R216" s="402">
        <v>85619.6</v>
      </c>
      <c r="S216" s="402">
        <v>59782.76</v>
      </c>
      <c r="T216" s="402">
        <v>67059.149999999994</v>
      </c>
      <c r="U216" s="402">
        <v>57013.1</v>
      </c>
      <c r="V216" s="402">
        <v>0</v>
      </c>
      <c r="W216" s="402">
        <v>0</v>
      </c>
      <c r="X216" s="402">
        <v>0</v>
      </c>
      <c r="Y216" s="402">
        <v>0</v>
      </c>
      <c r="Z216" s="402">
        <v>0</v>
      </c>
      <c r="AA216" s="402">
        <v>424405.26</v>
      </c>
    </row>
    <row r="217" spans="10:27" ht="15" customHeight="1" x14ac:dyDescent="0.25">
      <c r="J217" s="400" t="s">
        <v>336</v>
      </c>
      <c r="K217" s="407" t="s">
        <v>700</v>
      </c>
      <c r="L217" s="402" t="s">
        <v>701</v>
      </c>
      <c r="M217" s="402">
        <v>-11.6</v>
      </c>
      <c r="N217" s="402">
        <v>-30</v>
      </c>
      <c r="O217" s="402">
        <v>-4.4000000000000004</v>
      </c>
      <c r="P217" s="402">
        <v>0</v>
      </c>
      <c r="Q217" s="402">
        <v>0</v>
      </c>
      <c r="R217" s="402">
        <v>-5.83</v>
      </c>
      <c r="S217" s="402">
        <v>0</v>
      </c>
      <c r="T217" s="402">
        <v>0</v>
      </c>
      <c r="U217" s="402">
        <v>-1.37</v>
      </c>
      <c r="V217" s="402">
        <v>0</v>
      </c>
      <c r="W217" s="402">
        <v>0</v>
      </c>
      <c r="X217" s="402">
        <v>0</v>
      </c>
      <c r="Y217" s="402">
        <v>0</v>
      </c>
      <c r="Z217" s="402">
        <v>0</v>
      </c>
      <c r="AA217" s="402">
        <v>-11.6</v>
      </c>
    </row>
    <row r="218" spans="10:27" ht="15" customHeight="1" x14ac:dyDescent="0.25">
      <c r="J218" s="400" t="s">
        <v>336</v>
      </c>
      <c r="K218" s="407" t="s">
        <v>702</v>
      </c>
      <c r="L218" s="402" t="s">
        <v>703</v>
      </c>
      <c r="M218" s="402">
        <v>12677710</v>
      </c>
      <c r="N218" s="402">
        <v>0</v>
      </c>
      <c r="O218" s="402">
        <v>0</v>
      </c>
      <c r="P218" s="402">
        <v>0</v>
      </c>
      <c r="Q218" s="402">
        <v>0</v>
      </c>
      <c r="R218" s="402">
        <v>0</v>
      </c>
      <c r="S218" s="402">
        <v>0</v>
      </c>
      <c r="T218" s="402">
        <v>0</v>
      </c>
      <c r="U218" s="402">
        <v>0</v>
      </c>
      <c r="V218" s="402">
        <v>6645964</v>
      </c>
      <c r="W218" s="402">
        <v>5705850</v>
      </c>
      <c r="X218" s="402">
        <v>101610</v>
      </c>
      <c r="Y218" s="402">
        <v>107887</v>
      </c>
      <c r="Z218" s="402">
        <v>116399</v>
      </c>
      <c r="AA218" s="402">
        <v>12677710</v>
      </c>
    </row>
    <row r="219" spans="10:27" ht="15" customHeight="1" x14ac:dyDescent="0.25">
      <c r="J219" s="400" t="s">
        <v>336</v>
      </c>
      <c r="K219" s="407" t="s">
        <v>704</v>
      </c>
      <c r="L219" s="402" t="s">
        <v>705</v>
      </c>
      <c r="M219" s="402">
        <v>218197667</v>
      </c>
      <c r="N219" s="402">
        <v>0</v>
      </c>
      <c r="O219" s="402">
        <v>0</v>
      </c>
      <c r="P219" s="402">
        <v>0</v>
      </c>
      <c r="Q219" s="402">
        <v>0</v>
      </c>
      <c r="R219" s="402">
        <v>0</v>
      </c>
      <c r="S219" s="402">
        <v>0</v>
      </c>
      <c r="T219" s="402">
        <v>0</v>
      </c>
      <c r="U219" s="402">
        <v>0</v>
      </c>
      <c r="V219" s="402">
        <v>51668334</v>
      </c>
      <c r="W219" s="402">
        <v>41288938</v>
      </c>
      <c r="X219" s="402">
        <v>41220678</v>
      </c>
      <c r="Y219" s="402">
        <v>36829319</v>
      </c>
      <c r="Z219" s="402">
        <v>47190398</v>
      </c>
      <c r="AA219" s="402">
        <v>218197667</v>
      </c>
    </row>
    <row r="220" spans="10:27" ht="15" customHeight="1" x14ac:dyDescent="0.25">
      <c r="J220" s="400" t="s">
        <v>336</v>
      </c>
      <c r="K220" s="407" t="s">
        <v>706</v>
      </c>
      <c r="L220" s="402" t="s">
        <v>707</v>
      </c>
      <c r="M220" s="402">
        <v>1049768.6666665</v>
      </c>
      <c r="N220" s="402">
        <v>0</v>
      </c>
      <c r="O220" s="402">
        <v>0</v>
      </c>
      <c r="P220" s="402">
        <v>0</v>
      </c>
      <c r="Q220" s="402">
        <v>0</v>
      </c>
      <c r="R220" s="402">
        <v>0</v>
      </c>
      <c r="S220" s="402">
        <v>0</v>
      </c>
      <c r="T220" s="402">
        <v>0</v>
      </c>
      <c r="U220" s="402">
        <v>0</v>
      </c>
      <c r="V220" s="402">
        <v>212288.33333329999</v>
      </c>
      <c r="W220" s="402">
        <v>211098.33333329999</v>
      </c>
      <c r="X220" s="402">
        <v>209934.33333329999</v>
      </c>
      <c r="Y220" s="402">
        <v>208789.33333329999</v>
      </c>
      <c r="Z220" s="402">
        <v>207658.33333329999</v>
      </c>
      <c r="AA220" s="402">
        <v>1049768.6666665</v>
      </c>
    </row>
    <row r="221" spans="10:27" ht="15" customHeight="1" x14ac:dyDescent="0.25">
      <c r="J221" s="400" t="s">
        <v>336</v>
      </c>
      <c r="K221" s="407" t="s">
        <v>708</v>
      </c>
      <c r="L221" s="402" t="s">
        <v>709</v>
      </c>
      <c r="M221" s="402">
        <v>26572</v>
      </c>
      <c r="N221" s="402">
        <v>0</v>
      </c>
      <c r="O221" s="402">
        <v>0</v>
      </c>
      <c r="P221" s="402">
        <v>0</v>
      </c>
      <c r="Q221" s="402">
        <v>0</v>
      </c>
      <c r="R221" s="402">
        <v>0</v>
      </c>
      <c r="S221" s="402">
        <v>0</v>
      </c>
      <c r="T221" s="402">
        <v>0</v>
      </c>
      <c r="U221" s="402">
        <v>0</v>
      </c>
      <c r="V221" s="402">
        <v>18800</v>
      </c>
      <c r="W221" s="402">
        <v>3570</v>
      </c>
      <c r="X221" s="402">
        <v>1416</v>
      </c>
      <c r="Y221" s="402">
        <v>1370</v>
      </c>
      <c r="Z221" s="402">
        <v>1416</v>
      </c>
      <c r="AA221" s="402">
        <v>26572</v>
      </c>
    </row>
    <row r="222" spans="10:27" ht="15" customHeight="1" x14ac:dyDescent="0.2">
      <c r="J222" s="392" t="s">
        <v>336</v>
      </c>
      <c r="K222" s="398" t="s">
        <v>710</v>
      </c>
      <c r="L222" s="392" t="s">
        <v>711</v>
      </c>
      <c r="M222" s="393">
        <v>81676156.207182005</v>
      </c>
      <c r="N222" s="393">
        <v>6835884.7157095</v>
      </c>
      <c r="O222" s="393">
        <v>2489910.41</v>
      </c>
      <c r="P222" s="393">
        <v>2765893.8</v>
      </c>
      <c r="Q222" s="393">
        <v>4009525.67</v>
      </c>
      <c r="R222" s="393">
        <v>11199479.76</v>
      </c>
      <c r="S222" s="393">
        <v>8733450.5099999998</v>
      </c>
      <c r="T222" s="393">
        <v>4928107.9000000004</v>
      </c>
      <c r="U222" s="393">
        <v>7064061.2000000002</v>
      </c>
      <c r="V222" s="393">
        <v>2360951.7270609001</v>
      </c>
      <c r="W222" s="393">
        <v>15094218.1393629</v>
      </c>
      <c r="X222" s="393">
        <v>12374530.986361301</v>
      </c>
      <c r="Y222" s="393">
        <v>10115857.093063699</v>
      </c>
      <c r="Z222" s="393">
        <v>540169.01133320003</v>
      </c>
      <c r="AA222" s="393">
        <v>81676156.207182005</v>
      </c>
    </row>
    <row r="223" spans="10:27" ht="15" customHeight="1" x14ac:dyDescent="0.25">
      <c r="J223" s="400" t="s">
        <v>336</v>
      </c>
      <c r="K223" s="407" t="s">
        <v>712</v>
      </c>
      <c r="L223" s="402" t="s">
        <v>711</v>
      </c>
      <c r="M223" s="402">
        <v>41190429.25</v>
      </c>
      <c r="N223" s="402">
        <v>6835884.7157095</v>
      </c>
      <c r="O223" s="402">
        <v>2489910.41</v>
      </c>
      <c r="P223" s="402">
        <v>2765893.8</v>
      </c>
      <c r="Q223" s="402">
        <v>4009525.67</v>
      </c>
      <c r="R223" s="402">
        <v>11199479.76</v>
      </c>
      <c r="S223" s="402">
        <v>8733450.5099999998</v>
      </c>
      <c r="T223" s="402">
        <v>4928107.9000000004</v>
      </c>
      <c r="U223" s="402">
        <v>7064061.2000000002</v>
      </c>
      <c r="V223" s="402">
        <v>0</v>
      </c>
      <c r="W223" s="402">
        <v>0</v>
      </c>
      <c r="X223" s="402">
        <v>0</v>
      </c>
      <c r="Y223" s="402">
        <v>0</v>
      </c>
      <c r="Z223" s="402">
        <v>0</v>
      </c>
      <c r="AA223" s="402">
        <v>41190429.25</v>
      </c>
    </row>
    <row r="224" spans="10:27" ht="15" customHeight="1" x14ac:dyDescent="0.25">
      <c r="J224" s="400" t="s">
        <v>336</v>
      </c>
      <c r="K224" s="407" t="s">
        <v>713</v>
      </c>
      <c r="L224" s="402" t="s">
        <v>714</v>
      </c>
      <c r="M224" s="402">
        <v>40485726.957181998</v>
      </c>
      <c r="N224" s="402">
        <v>0</v>
      </c>
      <c r="O224" s="402">
        <v>0</v>
      </c>
      <c r="P224" s="402">
        <v>0</v>
      </c>
      <c r="Q224" s="402">
        <v>0</v>
      </c>
      <c r="R224" s="402">
        <v>0</v>
      </c>
      <c r="S224" s="402">
        <v>0</v>
      </c>
      <c r="T224" s="402">
        <v>0</v>
      </c>
      <c r="U224" s="402">
        <v>0</v>
      </c>
      <c r="V224" s="402">
        <v>2360951.7270609001</v>
      </c>
      <c r="W224" s="402">
        <v>15094218.1393629</v>
      </c>
      <c r="X224" s="402">
        <v>12374530.986361301</v>
      </c>
      <c r="Y224" s="402">
        <v>10115857.093063699</v>
      </c>
      <c r="Z224" s="402">
        <v>540169.01133320003</v>
      </c>
      <c r="AA224" s="402">
        <v>40485726.957181998</v>
      </c>
    </row>
    <row r="225" spans="10:27" ht="15" customHeight="1" x14ac:dyDescent="0.2">
      <c r="J225" s="392" t="s">
        <v>336</v>
      </c>
      <c r="K225" s="398" t="s">
        <v>715</v>
      </c>
      <c r="L225" s="392" t="s">
        <v>716</v>
      </c>
      <c r="M225" s="393">
        <v>604012787.98449826</v>
      </c>
      <c r="N225" s="393">
        <v>474527988.39859289</v>
      </c>
      <c r="O225" s="393">
        <v>36701996.539999999</v>
      </c>
      <c r="P225" s="393">
        <v>37663914.07</v>
      </c>
      <c r="Q225" s="393">
        <v>43550485.890000001</v>
      </c>
      <c r="R225" s="393">
        <v>48105371.609999999</v>
      </c>
      <c r="S225" s="393">
        <v>50595721.560000002</v>
      </c>
      <c r="T225" s="393">
        <v>58496829.109999999</v>
      </c>
      <c r="U225" s="393">
        <v>54427981.890000001</v>
      </c>
      <c r="V225" s="393">
        <v>55902512.477372803</v>
      </c>
      <c r="W225" s="393">
        <v>57774637.447326601</v>
      </c>
      <c r="X225" s="393">
        <v>53992513.244921997</v>
      </c>
      <c r="Y225" s="393">
        <v>51395507.377622299</v>
      </c>
      <c r="Z225" s="393">
        <v>55405316.767254598</v>
      </c>
      <c r="AA225" s="393">
        <v>604012787.98449826</v>
      </c>
    </row>
    <row r="226" spans="10:27" ht="15" customHeight="1" x14ac:dyDescent="0.2">
      <c r="J226" s="392" t="s">
        <v>336</v>
      </c>
      <c r="K226" s="399" t="s">
        <v>717</v>
      </c>
      <c r="L226" s="392" t="s">
        <v>718</v>
      </c>
      <c r="M226" s="393">
        <v>48095698.168995</v>
      </c>
      <c r="N226" s="393">
        <v>23711837.568720002</v>
      </c>
      <c r="O226" s="393">
        <v>3424236.8</v>
      </c>
      <c r="P226" s="393">
        <v>3106564.58</v>
      </c>
      <c r="Q226" s="393">
        <v>3096664.84</v>
      </c>
      <c r="R226" s="393">
        <v>3931043.65</v>
      </c>
      <c r="S226" s="393">
        <v>4187138.74</v>
      </c>
      <c r="T226" s="393">
        <v>4606694.91</v>
      </c>
      <c r="U226" s="393">
        <v>4233961.5</v>
      </c>
      <c r="V226" s="393">
        <v>4801679.8859727997</v>
      </c>
      <c r="W226" s="393">
        <v>5100657.8859727997</v>
      </c>
      <c r="X226" s="393">
        <v>4560496.8859727997</v>
      </c>
      <c r="Y226" s="393">
        <v>2919161.8859728002</v>
      </c>
      <c r="Z226" s="393">
        <v>4127396.6051038001</v>
      </c>
      <c r="AA226" s="393">
        <v>48095698.168995</v>
      </c>
    </row>
    <row r="227" spans="10:27" ht="15" customHeight="1" x14ac:dyDescent="0.25">
      <c r="J227" s="400" t="s">
        <v>336</v>
      </c>
      <c r="K227" s="401" t="s">
        <v>719</v>
      </c>
      <c r="L227" s="402" t="s">
        <v>720</v>
      </c>
      <c r="M227" s="402">
        <v>3129.77</v>
      </c>
      <c r="N227" s="402">
        <v>0</v>
      </c>
      <c r="O227" s="402">
        <v>0</v>
      </c>
      <c r="P227" s="402">
        <v>0</v>
      </c>
      <c r="Q227" s="402">
        <v>1585.46</v>
      </c>
      <c r="R227" s="402">
        <v>0</v>
      </c>
      <c r="S227" s="402">
        <v>0</v>
      </c>
      <c r="T227" s="402">
        <v>1544.31</v>
      </c>
      <c r="U227" s="402">
        <v>0</v>
      </c>
      <c r="V227" s="402">
        <v>0</v>
      </c>
      <c r="W227" s="402">
        <v>0</v>
      </c>
      <c r="X227" s="402">
        <v>0</v>
      </c>
      <c r="Y227" s="402">
        <v>0</v>
      </c>
      <c r="Z227" s="402">
        <v>0</v>
      </c>
      <c r="AA227" s="402">
        <v>3129.77</v>
      </c>
    </row>
    <row r="228" spans="10:27" ht="15" customHeight="1" x14ac:dyDescent="0.25">
      <c r="J228" s="400" t="s">
        <v>336</v>
      </c>
      <c r="K228" s="401" t="s">
        <v>721</v>
      </c>
      <c r="L228" s="402" t="s">
        <v>722</v>
      </c>
      <c r="M228" s="402">
        <v>23295514.699074998</v>
      </c>
      <c r="N228" s="402">
        <v>0</v>
      </c>
      <c r="O228" s="402">
        <v>825553.66</v>
      </c>
      <c r="P228" s="402">
        <v>1175380.44</v>
      </c>
      <c r="Q228" s="402">
        <v>1677879.24</v>
      </c>
      <c r="R228" s="402">
        <v>1518041.51</v>
      </c>
      <c r="S228" s="402">
        <v>1962684.6</v>
      </c>
      <c r="T228" s="402">
        <v>2006467.46</v>
      </c>
      <c r="U228" s="402">
        <v>1635278.36</v>
      </c>
      <c r="V228" s="402">
        <v>2202798.7459728001</v>
      </c>
      <c r="W228" s="402">
        <v>2501776.7459728001</v>
      </c>
      <c r="X228" s="402">
        <v>2202798.7459728001</v>
      </c>
      <c r="Y228" s="402">
        <v>2202798.7459728001</v>
      </c>
      <c r="Z228" s="402">
        <v>3384056.4451838001</v>
      </c>
      <c r="AA228" s="402">
        <v>23295514.699074998</v>
      </c>
    </row>
    <row r="229" spans="10:27" ht="15" customHeight="1" x14ac:dyDescent="0.25">
      <c r="J229" s="400" t="s">
        <v>336</v>
      </c>
      <c r="K229" s="401" t="s">
        <v>723</v>
      </c>
      <c r="L229" s="402" t="s">
        <v>724</v>
      </c>
      <c r="M229" s="402">
        <v>-885649.07007999998</v>
      </c>
      <c r="N229" s="402">
        <v>-2086843.2012799999</v>
      </c>
      <c r="O229" s="402">
        <v>0</v>
      </c>
      <c r="P229" s="402">
        <v>-160631</v>
      </c>
      <c r="Q229" s="402">
        <v>-421785</v>
      </c>
      <c r="R229" s="402">
        <v>-1640</v>
      </c>
      <c r="S229" s="402">
        <v>-230328</v>
      </c>
      <c r="T229" s="402">
        <v>0</v>
      </c>
      <c r="U229" s="402">
        <v>0</v>
      </c>
      <c r="V229" s="402">
        <v>0</v>
      </c>
      <c r="W229" s="402">
        <v>0</v>
      </c>
      <c r="X229" s="402">
        <v>0</v>
      </c>
      <c r="Y229" s="402">
        <v>0</v>
      </c>
      <c r="Z229" s="402">
        <v>-71265.070080000005</v>
      </c>
      <c r="AA229" s="402">
        <v>-885649.07007999998</v>
      </c>
    </row>
    <row r="230" spans="10:27" ht="15" customHeight="1" x14ac:dyDescent="0.25">
      <c r="J230" s="400" t="s">
        <v>336</v>
      </c>
      <c r="K230" s="401" t="s">
        <v>725</v>
      </c>
      <c r="L230" s="402" t="s">
        <v>726</v>
      </c>
      <c r="M230" s="402">
        <v>0</v>
      </c>
      <c r="N230" s="402">
        <v>-1019111</v>
      </c>
      <c r="O230" s="402">
        <v>0</v>
      </c>
      <c r="P230" s="402">
        <v>0</v>
      </c>
      <c r="Q230" s="402">
        <v>0</v>
      </c>
      <c r="R230" s="402">
        <v>0</v>
      </c>
      <c r="S230" s="402">
        <v>0</v>
      </c>
      <c r="T230" s="402">
        <v>0</v>
      </c>
      <c r="U230" s="402">
        <v>0</v>
      </c>
      <c r="V230" s="402">
        <v>0</v>
      </c>
      <c r="W230" s="402">
        <v>0</v>
      </c>
      <c r="X230" s="402">
        <v>0</v>
      </c>
      <c r="Y230" s="402">
        <v>0</v>
      </c>
      <c r="Z230" s="402">
        <v>0</v>
      </c>
      <c r="AA230" s="402">
        <v>0</v>
      </c>
    </row>
    <row r="231" spans="10:27" ht="15" customHeight="1" x14ac:dyDescent="0.25">
      <c r="J231" s="400" t="s">
        <v>336</v>
      </c>
      <c r="K231" s="401" t="s">
        <v>727</v>
      </c>
      <c r="L231" s="402" t="s">
        <v>728</v>
      </c>
      <c r="M231" s="402">
        <v>-5502485</v>
      </c>
      <c r="N231" s="402">
        <v>-4368782</v>
      </c>
      <c r="O231" s="402">
        <v>0</v>
      </c>
      <c r="P231" s="402">
        <v>-506868</v>
      </c>
      <c r="Q231" s="402">
        <v>-759698</v>
      </c>
      <c r="R231" s="402">
        <v>-184041</v>
      </c>
      <c r="S231" s="402">
        <v>-143901</v>
      </c>
      <c r="T231" s="402">
        <v>0</v>
      </c>
      <c r="U231" s="402">
        <v>0</v>
      </c>
      <c r="V231" s="402">
        <v>0</v>
      </c>
      <c r="W231" s="402">
        <v>0</v>
      </c>
      <c r="X231" s="402">
        <v>-241183</v>
      </c>
      <c r="Y231" s="402">
        <v>-1882518</v>
      </c>
      <c r="Z231" s="402">
        <v>-1784276</v>
      </c>
      <c r="AA231" s="402">
        <v>-5502485</v>
      </c>
    </row>
    <row r="232" spans="10:27" ht="15" customHeight="1" x14ac:dyDescent="0.25">
      <c r="J232" s="400" t="s">
        <v>336</v>
      </c>
      <c r="K232" s="401" t="s">
        <v>729</v>
      </c>
      <c r="L232" s="402" t="s">
        <v>730</v>
      </c>
      <c r="M232" s="402">
        <v>-1386</v>
      </c>
      <c r="N232" s="402">
        <v>0</v>
      </c>
      <c r="O232" s="402">
        <v>-198</v>
      </c>
      <c r="P232" s="402">
        <v>-198</v>
      </c>
      <c r="Q232" s="402">
        <v>-198</v>
      </c>
      <c r="R232" s="402">
        <v>-198</v>
      </c>
      <c r="S232" s="402">
        <v>-198</v>
      </c>
      <c r="T232" s="402">
        <v>-198</v>
      </c>
      <c r="U232" s="402">
        <v>-198</v>
      </c>
      <c r="V232" s="402">
        <v>0</v>
      </c>
      <c r="W232" s="402">
        <v>0</v>
      </c>
      <c r="X232" s="402">
        <v>0</v>
      </c>
      <c r="Y232" s="402">
        <v>0</v>
      </c>
      <c r="Z232" s="402">
        <v>0</v>
      </c>
      <c r="AA232" s="402">
        <v>-1386</v>
      </c>
    </row>
    <row r="233" spans="10:27" ht="15" customHeight="1" x14ac:dyDescent="0.25">
      <c r="J233" s="400" t="s">
        <v>336</v>
      </c>
      <c r="K233" s="401" t="s">
        <v>731</v>
      </c>
      <c r="L233" s="402" t="s">
        <v>732</v>
      </c>
      <c r="M233" s="402">
        <v>31186573.77</v>
      </c>
      <c r="N233" s="402">
        <v>31186573.77</v>
      </c>
      <c r="O233" s="402">
        <v>2598881.14</v>
      </c>
      <c r="P233" s="402">
        <v>2598881.14</v>
      </c>
      <c r="Q233" s="402">
        <v>2598881.14</v>
      </c>
      <c r="R233" s="402">
        <v>2598881.14</v>
      </c>
      <c r="S233" s="402">
        <v>2598881.14</v>
      </c>
      <c r="T233" s="402">
        <v>2598881.14</v>
      </c>
      <c r="U233" s="402">
        <v>2598881.14</v>
      </c>
      <c r="V233" s="402">
        <v>2598881.14</v>
      </c>
      <c r="W233" s="402">
        <v>2598881.14</v>
      </c>
      <c r="X233" s="402">
        <v>2598881.14</v>
      </c>
      <c r="Y233" s="402">
        <v>2598881.14</v>
      </c>
      <c r="Z233" s="402">
        <v>2598881.23</v>
      </c>
      <c r="AA233" s="402">
        <v>31186573.77</v>
      </c>
    </row>
    <row r="234" spans="10:27" ht="15" customHeight="1" x14ac:dyDescent="0.2">
      <c r="J234" s="392" t="s">
        <v>336</v>
      </c>
      <c r="K234" s="399" t="s">
        <v>733</v>
      </c>
      <c r="L234" s="392" t="s">
        <v>734</v>
      </c>
      <c r="M234" s="393">
        <v>181729608.57419369</v>
      </c>
      <c r="N234" s="393">
        <v>180681003.16738069</v>
      </c>
      <c r="O234" s="393">
        <v>15282238.970000001</v>
      </c>
      <c r="P234" s="393">
        <v>15135873.74</v>
      </c>
      <c r="Q234" s="393">
        <v>16243190.970000001</v>
      </c>
      <c r="R234" s="393">
        <v>14445682.58</v>
      </c>
      <c r="S234" s="393">
        <v>16390736.949999999</v>
      </c>
      <c r="T234" s="393">
        <v>16025566.050000001</v>
      </c>
      <c r="U234" s="393">
        <v>15647697.83</v>
      </c>
      <c r="V234" s="393">
        <v>15213575.4949094</v>
      </c>
      <c r="W234" s="393">
        <v>13983154.147715</v>
      </c>
      <c r="X234" s="393">
        <v>14669567.074959099</v>
      </c>
      <c r="Y234" s="393">
        <v>14636832.5495729</v>
      </c>
      <c r="Z234" s="393">
        <v>14055492.2170373</v>
      </c>
      <c r="AA234" s="393">
        <v>181729608.57419369</v>
      </c>
    </row>
    <row r="235" spans="10:27" ht="15" customHeight="1" x14ac:dyDescent="0.25">
      <c r="J235" s="400" t="s">
        <v>336</v>
      </c>
      <c r="K235" s="401" t="s">
        <v>735</v>
      </c>
      <c r="L235" s="402" t="s">
        <v>736</v>
      </c>
      <c r="M235" s="402">
        <v>74578060</v>
      </c>
      <c r="N235" s="402">
        <v>0</v>
      </c>
      <c r="O235" s="402">
        <v>9496018.9100000001</v>
      </c>
      <c r="P235" s="402">
        <v>10893536.039999999</v>
      </c>
      <c r="Q235" s="402">
        <v>11453414.43</v>
      </c>
      <c r="R235" s="402">
        <v>9725181.4100000001</v>
      </c>
      <c r="S235" s="402">
        <v>12591946.16</v>
      </c>
      <c r="T235" s="402">
        <v>10354395.27</v>
      </c>
      <c r="U235" s="402">
        <v>10063567.779999999</v>
      </c>
      <c r="V235" s="402">
        <v>0</v>
      </c>
      <c r="W235" s="402">
        <v>0</v>
      </c>
      <c r="X235" s="402">
        <v>0</v>
      </c>
      <c r="Y235" s="402">
        <v>0</v>
      </c>
      <c r="Z235" s="402">
        <v>0</v>
      </c>
      <c r="AA235" s="402">
        <v>74578060</v>
      </c>
    </row>
    <row r="236" spans="10:27" ht="15" customHeight="1" x14ac:dyDescent="0.25">
      <c r="J236" s="400" t="s">
        <v>336</v>
      </c>
      <c r="K236" s="401" t="s">
        <v>737</v>
      </c>
      <c r="L236" s="402" t="s">
        <v>738</v>
      </c>
      <c r="M236" s="402">
        <v>3517222.97</v>
      </c>
      <c r="N236" s="402">
        <v>0</v>
      </c>
      <c r="O236" s="402">
        <v>421948.83</v>
      </c>
      <c r="P236" s="402">
        <v>340973.16</v>
      </c>
      <c r="Q236" s="402">
        <v>544722.89</v>
      </c>
      <c r="R236" s="402">
        <v>506022.29</v>
      </c>
      <c r="S236" s="402">
        <v>649644.43000000005</v>
      </c>
      <c r="T236" s="402">
        <v>554168.59</v>
      </c>
      <c r="U236" s="402">
        <v>499742.78</v>
      </c>
      <c r="V236" s="402">
        <v>0</v>
      </c>
      <c r="W236" s="402">
        <v>0</v>
      </c>
      <c r="X236" s="402">
        <v>0</v>
      </c>
      <c r="Y236" s="402">
        <v>0</v>
      </c>
      <c r="Z236" s="402">
        <v>0</v>
      </c>
      <c r="AA236" s="402">
        <v>3517222.97</v>
      </c>
    </row>
    <row r="237" spans="10:27" ht="15" customHeight="1" x14ac:dyDescent="0.25">
      <c r="J237" s="400" t="s">
        <v>336</v>
      </c>
      <c r="K237" s="401" t="s">
        <v>739</v>
      </c>
      <c r="L237" s="402" t="s">
        <v>740</v>
      </c>
      <c r="M237" s="402">
        <v>11424295.15</v>
      </c>
      <c r="N237" s="402">
        <v>0</v>
      </c>
      <c r="O237" s="402">
        <v>2842538.89</v>
      </c>
      <c r="P237" s="402">
        <v>394984.04</v>
      </c>
      <c r="Q237" s="402">
        <v>1606951.42</v>
      </c>
      <c r="R237" s="402">
        <v>1635692.93</v>
      </c>
      <c r="S237" s="402">
        <v>576625.39</v>
      </c>
      <c r="T237" s="402">
        <v>2276408.63</v>
      </c>
      <c r="U237" s="402">
        <v>2091093.85</v>
      </c>
      <c r="V237" s="402">
        <v>0</v>
      </c>
      <c r="W237" s="402">
        <v>0</v>
      </c>
      <c r="X237" s="402">
        <v>0</v>
      </c>
      <c r="Y237" s="402">
        <v>0</v>
      </c>
      <c r="Z237" s="402">
        <v>0</v>
      </c>
      <c r="AA237" s="402">
        <v>11424295.15</v>
      </c>
    </row>
    <row r="238" spans="10:27" ht="15" customHeight="1" x14ac:dyDescent="0.25">
      <c r="J238" s="400" t="s">
        <v>336</v>
      </c>
      <c r="K238" s="401" t="s">
        <v>741</v>
      </c>
      <c r="L238" s="402" t="s">
        <v>742</v>
      </c>
      <c r="M238" s="402">
        <v>9031761.4100000001</v>
      </c>
      <c r="N238" s="402">
        <v>0</v>
      </c>
      <c r="O238" s="402">
        <v>1210123.6599999999</v>
      </c>
      <c r="P238" s="402">
        <v>1326326.49</v>
      </c>
      <c r="Q238" s="402">
        <v>1380826.58</v>
      </c>
      <c r="R238" s="402">
        <v>1166344.0900000001</v>
      </c>
      <c r="S238" s="402">
        <v>1460703.65</v>
      </c>
      <c r="T238" s="402">
        <v>1259430.3999999999</v>
      </c>
      <c r="U238" s="402">
        <v>1228006.54</v>
      </c>
      <c r="V238" s="402">
        <v>0</v>
      </c>
      <c r="W238" s="402">
        <v>0</v>
      </c>
      <c r="X238" s="402">
        <v>0</v>
      </c>
      <c r="Y238" s="402">
        <v>0</v>
      </c>
      <c r="Z238" s="402">
        <v>0</v>
      </c>
      <c r="AA238" s="402">
        <v>9031761.4100000001</v>
      </c>
    </row>
    <row r="239" spans="10:27" ht="15" customHeight="1" x14ac:dyDescent="0.25">
      <c r="J239" s="400" t="s">
        <v>336</v>
      </c>
      <c r="K239" s="401" t="s">
        <v>743</v>
      </c>
      <c r="L239" s="402" t="s">
        <v>744</v>
      </c>
      <c r="M239" s="402">
        <v>1393669.4</v>
      </c>
      <c r="N239" s="402">
        <v>0</v>
      </c>
      <c r="O239" s="402">
        <v>185814.7</v>
      </c>
      <c r="P239" s="402">
        <v>153590.35</v>
      </c>
      <c r="Q239" s="402">
        <v>215181.1</v>
      </c>
      <c r="R239" s="402">
        <v>233859.13</v>
      </c>
      <c r="S239" s="402">
        <v>192842.14</v>
      </c>
      <c r="T239" s="402">
        <v>216074.17</v>
      </c>
      <c r="U239" s="402">
        <v>196307.81</v>
      </c>
      <c r="V239" s="402">
        <v>0</v>
      </c>
      <c r="W239" s="402">
        <v>0</v>
      </c>
      <c r="X239" s="402">
        <v>0</v>
      </c>
      <c r="Y239" s="402">
        <v>0</v>
      </c>
      <c r="Z239" s="402">
        <v>0</v>
      </c>
      <c r="AA239" s="402">
        <v>1393669.4</v>
      </c>
    </row>
    <row r="240" spans="10:27" ht="15" customHeight="1" x14ac:dyDescent="0.25">
      <c r="J240" s="400" t="s">
        <v>336</v>
      </c>
      <c r="K240" s="401" t="s">
        <v>745</v>
      </c>
      <c r="L240" s="402" t="s">
        <v>746</v>
      </c>
      <c r="M240" s="402">
        <v>1347222.41</v>
      </c>
      <c r="N240" s="402">
        <v>0</v>
      </c>
      <c r="O240" s="402">
        <v>340254.29</v>
      </c>
      <c r="P240" s="402">
        <v>101425.66</v>
      </c>
      <c r="Q240" s="402">
        <v>181747.77</v>
      </c>
      <c r="R240" s="402">
        <v>206565.02</v>
      </c>
      <c r="S240" s="402">
        <v>66195.23</v>
      </c>
      <c r="T240" s="402">
        <v>258983.2</v>
      </c>
      <c r="U240" s="402">
        <v>192051.24</v>
      </c>
      <c r="V240" s="402">
        <v>0</v>
      </c>
      <c r="W240" s="402">
        <v>0</v>
      </c>
      <c r="X240" s="402">
        <v>0</v>
      </c>
      <c r="Y240" s="402">
        <v>0</v>
      </c>
      <c r="Z240" s="402">
        <v>0</v>
      </c>
      <c r="AA240" s="402">
        <v>1347222.41</v>
      </c>
    </row>
    <row r="241" spans="10:27" ht="15" customHeight="1" x14ac:dyDescent="0.25">
      <c r="J241" s="400" t="s">
        <v>336</v>
      </c>
      <c r="K241" s="401" t="s">
        <v>747</v>
      </c>
      <c r="L241" s="402" t="s">
        <v>748</v>
      </c>
      <c r="M241" s="402">
        <v>33613077.609999999</v>
      </c>
      <c r="N241" s="402">
        <v>0</v>
      </c>
      <c r="O241" s="402">
        <v>4321838.83</v>
      </c>
      <c r="P241" s="402">
        <v>4806235</v>
      </c>
      <c r="Q241" s="402">
        <v>4929387.68</v>
      </c>
      <c r="R241" s="402">
        <v>4475565.99</v>
      </c>
      <c r="S241" s="402">
        <v>5650126.1799999997</v>
      </c>
      <c r="T241" s="402">
        <v>4811483.6399999997</v>
      </c>
      <c r="U241" s="402">
        <v>4618440.29</v>
      </c>
      <c r="V241" s="402">
        <v>0</v>
      </c>
      <c r="W241" s="402">
        <v>0</v>
      </c>
      <c r="X241" s="402">
        <v>0</v>
      </c>
      <c r="Y241" s="402">
        <v>0</v>
      </c>
      <c r="Z241" s="402">
        <v>0</v>
      </c>
      <c r="AA241" s="402">
        <v>33613077.609999999</v>
      </c>
    </row>
    <row r="242" spans="10:27" ht="15" customHeight="1" x14ac:dyDescent="0.25">
      <c r="J242" s="400" t="s">
        <v>336</v>
      </c>
      <c r="K242" s="401" t="s">
        <v>749</v>
      </c>
      <c r="L242" s="402" t="s">
        <v>750</v>
      </c>
      <c r="M242" s="402">
        <v>10848366.710000001</v>
      </c>
      <c r="N242" s="402">
        <v>0</v>
      </c>
      <c r="O242" s="402">
        <v>1206751.99</v>
      </c>
      <c r="P242" s="402">
        <v>1393297.2</v>
      </c>
      <c r="Q242" s="402">
        <v>1492906.79</v>
      </c>
      <c r="R242" s="402">
        <v>1264292.6100000001</v>
      </c>
      <c r="S242" s="402">
        <v>1859362.72</v>
      </c>
      <c r="T242" s="402">
        <v>1848175.2</v>
      </c>
      <c r="U242" s="402">
        <v>1783580.2</v>
      </c>
      <c r="V242" s="402">
        <v>0</v>
      </c>
      <c r="W242" s="402">
        <v>0</v>
      </c>
      <c r="X242" s="402">
        <v>0</v>
      </c>
      <c r="Y242" s="402">
        <v>0</v>
      </c>
      <c r="Z242" s="402">
        <v>0</v>
      </c>
      <c r="AA242" s="402">
        <v>10848366.710000001</v>
      </c>
    </row>
    <row r="243" spans="10:27" ht="15" customHeight="1" x14ac:dyDescent="0.25">
      <c r="J243" s="400" t="s">
        <v>336</v>
      </c>
      <c r="K243" s="401" t="s">
        <v>751</v>
      </c>
      <c r="L243" s="402" t="s">
        <v>752</v>
      </c>
      <c r="M243" s="402">
        <v>6501640.6600000001</v>
      </c>
      <c r="N243" s="402">
        <v>0</v>
      </c>
      <c r="O243" s="402">
        <v>1473558.33</v>
      </c>
      <c r="P243" s="402">
        <v>426495.15</v>
      </c>
      <c r="Q243" s="402">
        <v>975956.09</v>
      </c>
      <c r="R243" s="402">
        <v>1036218.63</v>
      </c>
      <c r="S243" s="402">
        <v>415886.47</v>
      </c>
      <c r="T243" s="402">
        <v>1097001.3600000001</v>
      </c>
      <c r="U243" s="402">
        <v>1076524.6299999999</v>
      </c>
      <c r="V243" s="402">
        <v>0</v>
      </c>
      <c r="W243" s="402">
        <v>0</v>
      </c>
      <c r="X243" s="402">
        <v>0</v>
      </c>
      <c r="Y243" s="402">
        <v>0</v>
      </c>
      <c r="Z243" s="402">
        <v>0</v>
      </c>
      <c r="AA243" s="402">
        <v>6501640.6600000001</v>
      </c>
    </row>
    <row r="244" spans="10:27" ht="15" customHeight="1" x14ac:dyDescent="0.25">
      <c r="J244" s="400" t="s">
        <v>336</v>
      </c>
      <c r="K244" s="401" t="s">
        <v>753</v>
      </c>
      <c r="L244" s="402" t="s">
        <v>754</v>
      </c>
      <c r="M244" s="402">
        <v>339717.82</v>
      </c>
      <c r="N244" s="402">
        <v>0</v>
      </c>
      <c r="O244" s="402">
        <v>0</v>
      </c>
      <c r="P244" s="402">
        <v>693</v>
      </c>
      <c r="Q244" s="402">
        <v>0</v>
      </c>
      <c r="R244" s="402">
        <v>0</v>
      </c>
      <c r="S244" s="402">
        <v>0</v>
      </c>
      <c r="T244" s="402">
        <v>170000</v>
      </c>
      <c r="U244" s="402">
        <v>169024.82</v>
      </c>
      <c r="V244" s="402">
        <v>0</v>
      </c>
      <c r="W244" s="402">
        <v>0</v>
      </c>
      <c r="X244" s="402">
        <v>0</v>
      </c>
      <c r="Y244" s="402">
        <v>0</v>
      </c>
      <c r="Z244" s="402">
        <v>0</v>
      </c>
      <c r="AA244" s="402">
        <v>339717.82</v>
      </c>
    </row>
    <row r="245" spans="10:27" ht="15" customHeight="1" x14ac:dyDescent="0.25">
      <c r="J245" s="400" t="s">
        <v>336</v>
      </c>
      <c r="K245" s="401" t="s">
        <v>755</v>
      </c>
      <c r="L245" s="402" t="s">
        <v>756</v>
      </c>
      <c r="M245" s="402">
        <v>36431.94</v>
      </c>
      <c r="N245" s="402">
        <v>0</v>
      </c>
      <c r="O245" s="402">
        <v>4975.1000000000004</v>
      </c>
      <c r="P245" s="402">
        <v>42.64</v>
      </c>
      <c r="Q245" s="402">
        <v>10113.68</v>
      </c>
      <c r="R245" s="402">
        <v>4854.28</v>
      </c>
      <c r="S245" s="402">
        <v>3553.62</v>
      </c>
      <c r="T245" s="402">
        <v>5842.21</v>
      </c>
      <c r="U245" s="402">
        <v>7050.41</v>
      </c>
      <c r="V245" s="402">
        <v>0</v>
      </c>
      <c r="W245" s="402">
        <v>0</v>
      </c>
      <c r="X245" s="402">
        <v>0</v>
      </c>
      <c r="Y245" s="402">
        <v>0</v>
      </c>
      <c r="Z245" s="402">
        <v>0</v>
      </c>
      <c r="AA245" s="402">
        <v>36431.94</v>
      </c>
    </row>
    <row r="246" spans="10:27" ht="15" customHeight="1" x14ac:dyDescent="0.25">
      <c r="J246" s="400" t="s">
        <v>336</v>
      </c>
      <c r="K246" s="401" t="s">
        <v>757</v>
      </c>
      <c r="L246" s="402" t="s">
        <v>758</v>
      </c>
      <c r="M246" s="402">
        <v>907532.51</v>
      </c>
      <c r="N246" s="402">
        <v>0</v>
      </c>
      <c r="O246" s="402">
        <v>104203.63</v>
      </c>
      <c r="P246" s="402">
        <v>92947.07</v>
      </c>
      <c r="Q246" s="402">
        <v>185842.35</v>
      </c>
      <c r="R246" s="402">
        <v>108563.48</v>
      </c>
      <c r="S246" s="402">
        <v>146960.16</v>
      </c>
      <c r="T246" s="402">
        <v>133188.49</v>
      </c>
      <c r="U246" s="402">
        <v>135827.32999999999</v>
      </c>
      <c r="V246" s="402">
        <v>0</v>
      </c>
      <c r="W246" s="402">
        <v>0</v>
      </c>
      <c r="X246" s="402">
        <v>0</v>
      </c>
      <c r="Y246" s="402">
        <v>0</v>
      </c>
      <c r="Z246" s="402">
        <v>0</v>
      </c>
      <c r="AA246" s="402">
        <v>907532.51</v>
      </c>
    </row>
    <row r="247" spans="10:27" ht="15" customHeight="1" x14ac:dyDescent="0.25">
      <c r="J247" s="400" t="s">
        <v>336</v>
      </c>
      <c r="K247" s="401" t="s">
        <v>759</v>
      </c>
      <c r="L247" s="402" t="s">
        <v>760</v>
      </c>
      <c r="M247" s="402">
        <v>801908.62</v>
      </c>
      <c r="N247" s="402">
        <v>0</v>
      </c>
      <c r="O247" s="402">
        <v>544062.69999999995</v>
      </c>
      <c r="P247" s="402">
        <v>13029.29</v>
      </c>
      <c r="Q247" s="402">
        <v>5146.07</v>
      </c>
      <c r="R247" s="402">
        <v>82600.570000000007</v>
      </c>
      <c r="S247" s="402">
        <v>21726.53</v>
      </c>
      <c r="T247" s="402">
        <v>60146.64</v>
      </c>
      <c r="U247" s="402">
        <v>75196.820000000007</v>
      </c>
      <c r="V247" s="402">
        <v>0</v>
      </c>
      <c r="W247" s="402">
        <v>0</v>
      </c>
      <c r="X247" s="402">
        <v>0</v>
      </c>
      <c r="Y247" s="402">
        <v>0</v>
      </c>
      <c r="Z247" s="402">
        <v>0</v>
      </c>
      <c r="AA247" s="402">
        <v>801908.62</v>
      </c>
    </row>
    <row r="248" spans="10:27" ht="15" customHeight="1" x14ac:dyDescent="0.25">
      <c r="J248" s="400" t="s">
        <v>336</v>
      </c>
      <c r="K248" s="401" t="s">
        <v>761</v>
      </c>
      <c r="L248" s="402" t="s">
        <v>762</v>
      </c>
      <c r="M248" s="402">
        <v>47438.5</v>
      </c>
      <c r="N248" s="402">
        <v>-3858326.2905390998</v>
      </c>
      <c r="O248" s="402">
        <v>5880.02</v>
      </c>
      <c r="P248" s="402">
        <v>2319.98</v>
      </c>
      <c r="Q248" s="402">
        <v>-2665.63</v>
      </c>
      <c r="R248" s="402">
        <v>51664.78</v>
      </c>
      <c r="S248" s="402">
        <v>3815.51</v>
      </c>
      <c r="T248" s="402">
        <v>100704.1</v>
      </c>
      <c r="U248" s="402">
        <v>-116653.21</v>
      </c>
      <c r="V248" s="402">
        <v>2372.9499999999998</v>
      </c>
      <c r="W248" s="402">
        <v>0</v>
      </c>
      <c r="X248" s="402">
        <v>0</v>
      </c>
      <c r="Y248" s="402">
        <v>0</v>
      </c>
      <c r="Z248" s="402">
        <v>0</v>
      </c>
      <c r="AA248" s="402">
        <v>47438.5</v>
      </c>
    </row>
    <row r="249" spans="10:27" ht="15" customHeight="1" x14ac:dyDescent="0.25">
      <c r="J249" s="400" t="s">
        <v>336</v>
      </c>
      <c r="K249" s="401" t="s">
        <v>763</v>
      </c>
      <c r="L249" s="402" t="s">
        <v>764</v>
      </c>
      <c r="M249" s="402">
        <v>-2477992.91</v>
      </c>
      <c r="N249" s="402">
        <v>0</v>
      </c>
      <c r="O249" s="402">
        <v>-1303927.7</v>
      </c>
      <c r="P249" s="402">
        <v>609240.03</v>
      </c>
      <c r="Q249" s="402">
        <v>-393198.76</v>
      </c>
      <c r="R249" s="402">
        <v>-281686.64</v>
      </c>
      <c r="S249" s="402">
        <v>-395468.75</v>
      </c>
      <c r="T249" s="402">
        <v>-553051.4</v>
      </c>
      <c r="U249" s="402">
        <v>-159899.69</v>
      </c>
      <c r="V249" s="402">
        <v>0</v>
      </c>
      <c r="W249" s="402">
        <v>0</v>
      </c>
      <c r="X249" s="402">
        <v>0</v>
      </c>
      <c r="Y249" s="402">
        <v>0</v>
      </c>
      <c r="Z249" s="402">
        <v>0</v>
      </c>
      <c r="AA249" s="402">
        <v>-2477992.91</v>
      </c>
    </row>
    <row r="250" spans="10:27" ht="15" customHeight="1" x14ac:dyDescent="0.25">
      <c r="J250" s="400" t="s">
        <v>336</v>
      </c>
      <c r="K250" s="401" t="s">
        <v>765</v>
      </c>
      <c r="L250" s="402" t="s">
        <v>766</v>
      </c>
      <c r="M250" s="402">
        <v>-36844383.25</v>
      </c>
      <c r="N250" s="402">
        <v>0</v>
      </c>
      <c r="O250" s="402">
        <v>-4863966.55</v>
      </c>
      <c r="P250" s="402">
        <v>-4694900.0199999996</v>
      </c>
      <c r="Q250" s="402">
        <v>-5517520.8399999999</v>
      </c>
      <c r="R250" s="402">
        <v>-5019515.8</v>
      </c>
      <c r="S250" s="402">
        <v>-5827904.3600000003</v>
      </c>
      <c r="T250" s="402">
        <v>-5564390.71</v>
      </c>
      <c r="U250" s="402">
        <v>-5356184.97</v>
      </c>
      <c r="V250" s="402">
        <v>0</v>
      </c>
      <c r="W250" s="402">
        <v>0</v>
      </c>
      <c r="X250" s="402">
        <v>0</v>
      </c>
      <c r="Y250" s="402">
        <v>0</v>
      </c>
      <c r="Z250" s="402">
        <v>0</v>
      </c>
      <c r="AA250" s="402">
        <v>-36844383.25</v>
      </c>
    </row>
    <row r="251" spans="10:27" ht="15" customHeight="1" x14ac:dyDescent="0.25">
      <c r="J251" s="400" t="s">
        <v>336</v>
      </c>
      <c r="K251" s="401" t="s">
        <v>767</v>
      </c>
      <c r="L251" s="402" t="s">
        <v>768</v>
      </c>
      <c r="M251" s="402">
        <v>-5892609.5099999998</v>
      </c>
      <c r="N251" s="402">
        <v>0</v>
      </c>
      <c r="O251" s="402">
        <v>-707836.66</v>
      </c>
      <c r="P251" s="402">
        <v>-724361.34</v>
      </c>
      <c r="Q251" s="402">
        <v>-825620.65</v>
      </c>
      <c r="R251" s="402">
        <v>-750540.19</v>
      </c>
      <c r="S251" s="402">
        <v>-1025278.13</v>
      </c>
      <c r="T251" s="402">
        <v>-1002993.74</v>
      </c>
      <c r="U251" s="402">
        <v>-855978.8</v>
      </c>
      <c r="V251" s="402">
        <v>0</v>
      </c>
      <c r="W251" s="402">
        <v>0</v>
      </c>
      <c r="X251" s="402">
        <v>0</v>
      </c>
      <c r="Y251" s="402">
        <v>0</v>
      </c>
      <c r="Z251" s="402">
        <v>0</v>
      </c>
      <c r="AA251" s="402">
        <v>-5892609.5099999998</v>
      </c>
    </row>
    <row r="252" spans="10:27" ht="15" customHeight="1" x14ac:dyDescent="0.25">
      <c r="J252" s="400" t="s">
        <v>336</v>
      </c>
      <c r="K252" s="401" t="s">
        <v>769</v>
      </c>
      <c r="L252" s="402" t="s">
        <v>770</v>
      </c>
      <c r="M252" s="402">
        <v>66598547.611079</v>
      </c>
      <c r="N252" s="402">
        <v>489215.61780010001</v>
      </c>
      <c r="O252" s="402">
        <v>0</v>
      </c>
      <c r="P252" s="402">
        <v>0</v>
      </c>
      <c r="Q252" s="402">
        <v>0</v>
      </c>
      <c r="R252" s="402">
        <v>0</v>
      </c>
      <c r="S252" s="402">
        <v>0</v>
      </c>
      <c r="T252" s="402">
        <v>0</v>
      </c>
      <c r="U252" s="402">
        <v>0</v>
      </c>
      <c r="V252" s="402">
        <v>13879783.3045067</v>
      </c>
      <c r="W252" s="402">
        <v>12799739.934166901</v>
      </c>
      <c r="X252" s="402">
        <v>13469964.6818753</v>
      </c>
      <c r="Y252" s="402">
        <v>13504568.075372601</v>
      </c>
      <c r="Z252" s="402">
        <v>12944491.6151575</v>
      </c>
      <c r="AA252" s="402">
        <v>66598547.611079</v>
      </c>
    </row>
    <row r="253" spans="10:27" ht="15" customHeight="1" x14ac:dyDescent="0.25">
      <c r="J253" s="400" t="s">
        <v>336</v>
      </c>
      <c r="K253" s="401" t="s">
        <v>771</v>
      </c>
      <c r="L253" s="402" t="s">
        <v>772</v>
      </c>
      <c r="M253" s="402">
        <v>0</v>
      </c>
      <c r="N253" s="402">
        <v>179766981.4269501</v>
      </c>
      <c r="O253" s="402">
        <v>0</v>
      </c>
      <c r="P253" s="402">
        <v>0</v>
      </c>
      <c r="Q253" s="402">
        <v>0</v>
      </c>
      <c r="R253" s="402">
        <v>0</v>
      </c>
      <c r="S253" s="402">
        <v>0</v>
      </c>
      <c r="T253" s="402">
        <v>0</v>
      </c>
      <c r="U253" s="402">
        <v>0</v>
      </c>
      <c r="V253" s="402">
        <v>0</v>
      </c>
      <c r="W253" s="402">
        <v>0</v>
      </c>
      <c r="X253" s="402">
        <v>0</v>
      </c>
      <c r="Y253" s="402">
        <v>0</v>
      </c>
      <c r="Z253" s="402">
        <v>0</v>
      </c>
      <c r="AA253" s="402">
        <v>0</v>
      </c>
    </row>
    <row r="254" spans="10:27" ht="15" customHeight="1" x14ac:dyDescent="0.25">
      <c r="J254" s="400" t="s">
        <v>336</v>
      </c>
      <c r="K254" s="401" t="s">
        <v>773</v>
      </c>
      <c r="L254" s="402" t="s">
        <v>774</v>
      </c>
      <c r="M254" s="402">
        <v>0</v>
      </c>
      <c r="N254" s="402">
        <v>16437232.0460333</v>
      </c>
      <c r="O254" s="402">
        <v>0</v>
      </c>
      <c r="P254" s="402">
        <v>0</v>
      </c>
      <c r="Q254" s="402">
        <v>0</v>
      </c>
      <c r="R254" s="402">
        <v>0</v>
      </c>
      <c r="S254" s="402">
        <v>0</v>
      </c>
      <c r="T254" s="402">
        <v>0</v>
      </c>
      <c r="U254" s="402">
        <v>0</v>
      </c>
      <c r="V254" s="402">
        <v>0</v>
      </c>
      <c r="W254" s="402">
        <v>0</v>
      </c>
      <c r="X254" s="402">
        <v>0</v>
      </c>
      <c r="Y254" s="402">
        <v>0</v>
      </c>
      <c r="Z254" s="402">
        <v>0</v>
      </c>
      <c r="AA254" s="402">
        <v>0</v>
      </c>
    </row>
    <row r="255" spans="10:27" ht="15" customHeight="1" x14ac:dyDescent="0.25">
      <c r="J255" s="400" t="s">
        <v>336</v>
      </c>
      <c r="K255" s="401" t="s">
        <v>775</v>
      </c>
      <c r="L255" s="402" t="s">
        <v>776</v>
      </c>
      <c r="M255" s="402">
        <v>740301.20440839999</v>
      </c>
      <c r="N255" s="402">
        <v>1172773.7576925999</v>
      </c>
      <c r="O255" s="402">
        <v>0</v>
      </c>
      <c r="P255" s="402">
        <v>0</v>
      </c>
      <c r="Q255" s="402">
        <v>0</v>
      </c>
      <c r="R255" s="402">
        <v>0</v>
      </c>
      <c r="S255" s="402">
        <v>0</v>
      </c>
      <c r="T255" s="402">
        <v>0</v>
      </c>
      <c r="U255" s="402">
        <v>0</v>
      </c>
      <c r="V255" s="402">
        <v>186918.50665679999</v>
      </c>
      <c r="W255" s="402">
        <v>138345.67443789999</v>
      </c>
      <c r="X255" s="402">
        <v>138345.67443789999</v>
      </c>
      <c r="Y255" s="402">
        <v>138345.67443789999</v>
      </c>
      <c r="Z255" s="402">
        <v>138345.67443789999</v>
      </c>
      <c r="AA255" s="402">
        <v>740301.20440839999</v>
      </c>
    </row>
    <row r="256" spans="10:27" ht="15" customHeight="1" x14ac:dyDescent="0.25">
      <c r="J256" s="400" t="s">
        <v>336</v>
      </c>
      <c r="K256" s="401" t="s">
        <v>777</v>
      </c>
      <c r="L256" s="402" t="s">
        <v>778</v>
      </c>
      <c r="M256" s="402">
        <v>-816352.97196720005</v>
      </c>
      <c r="N256" s="402">
        <v>-13326873.3905563</v>
      </c>
      <c r="O256" s="402">
        <v>0</v>
      </c>
      <c r="P256" s="402">
        <v>0</v>
      </c>
      <c r="Q256" s="402">
        <v>0</v>
      </c>
      <c r="R256" s="402">
        <v>0</v>
      </c>
      <c r="S256" s="402">
        <v>0</v>
      </c>
      <c r="T256" s="402">
        <v>0</v>
      </c>
      <c r="U256" s="402">
        <v>0</v>
      </c>
      <c r="V256" s="402">
        <v>-115544.6767292</v>
      </c>
      <c r="W256" s="402">
        <v>-110958.11088979999</v>
      </c>
      <c r="X256" s="402">
        <v>-174130.59672920001</v>
      </c>
      <c r="Y256" s="402">
        <v>-203330.59672920001</v>
      </c>
      <c r="Z256" s="402">
        <v>-212388.99088980001</v>
      </c>
      <c r="AA256" s="402">
        <v>-816352.97196720005</v>
      </c>
    </row>
    <row r="257" spans="10:27" ht="15" customHeight="1" x14ac:dyDescent="0.25">
      <c r="J257" s="400" t="s">
        <v>336</v>
      </c>
      <c r="K257" s="401" t="s">
        <v>779</v>
      </c>
      <c r="L257" s="402" t="s">
        <v>780</v>
      </c>
      <c r="M257" s="402">
        <v>6033752.6906735003</v>
      </c>
      <c r="N257" s="402">
        <v>0</v>
      </c>
      <c r="O257" s="402">
        <v>0</v>
      </c>
      <c r="P257" s="402">
        <v>0</v>
      </c>
      <c r="Q257" s="402">
        <v>0</v>
      </c>
      <c r="R257" s="402">
        <v>0</v>
      </c>
      <c r="S257" s="402">
        <v>0</v>
      </c>
      <c r="T257" s="402">
        <v>0</v>
      </c>
      <c r="U257" s="402">
        <v>0</v>
      </c>
      <c r="V257" s="402">
        <v>1260045.4104750999</v>
      </c>
      <c r="W257" s="402">
        <v>1156026.6499999999</v>
      </c>
      <c r="X257" s="402">
        <v>1235387.3153750999</v>
      </c>
      <c r="Y257" s="402">
        <v>1197249.3964916</v>
      </c>
      <c r="Z257" s="402">
        <v>1185043.9183316999</v>
      </c>
      <c r="AA257" s="402">
        <v>6033752.6906735003</v>
      </c>
    </row>
    <row r="258" spans="10:27" ht="15" customHeight="1" x14ac:dyDescent="0.2">
      <c r="J258" s="392" t="s">
        <v>336</v>
      </c>
      <c r="K258" s="399" t="s">
        <v>781</v>
      </c>
      <c r="L258" s="392" t="s">
        <v>782</v>
      </c>
      <c r="M258" s="393">
        <v>69210684.626125306</v>
      </c>
      <c r="N258" s="393">
        <v>57104998.417343996</v>
      </c>
      <c r="O258" s="393">
        <v>4690274.7</v>
      </c>
      <c r="P258" s="393">
        <v>4921077.09</v>
      </c>
      <c r="Q258" s="393">
        <v>7849169.7000000002</v>
      </c>
      <c r="R258" s="393">
        <v>4516105.03</v>
      </c>
      <c r="S258" s="393">
        <v>4637256.74</v>
      </c>
      <c r="T258" s="393">
        <v>9611134.3800000008</v>
      </c>
      <c r="U258" s="393">
        <v>4692268.41</v>
      </c>
      <c r="V258" s="393">
        <v>4052889.9521146002</v>
      </c>
      <c r="W258" s="393">
        <v>6662043.7352991998</v>
      </c>
      <c r="X258" s="393">
        <v>4155541.8130029999</v>
      </c>
      <c r="Y258" s="393">
        <v>4634787.1239307001</v>
      </c>
      <c r="Z258" s="393">
        <v>8788135.9517778009</v>
      </c>
      <c r="AA258" s="393">
        <v>69210684.626125306</v>
      </c>
    </row>
    <row r="259" spans="10:27" ht="15" customHeight="1" x14ac:dyDescent="0.25">
      <c r="J259" s="400" t="s">
        <v>336</v>
      </c>
      <c r="K259" s="401" t="s">
        <v>783</v>
      </c>
      <c r="L259" s="402" t="s">
        <v>784</v>
      </c>
      <c r="M259" s="402">
        <v>175706.46</v>
      </c>
      <c r="N259" s="402">
        <v>0</v>
      </c>
      <c r="O259" s="402">
        <v>15253.68</v>
      </c>
      <c r="P259" s="402">
        <v>20708.97</v>
      </c>
      <c r="Q259" s="402">
        <v>17470.740000000002</v>
      </c>
      <c r="R259" s="402">
        <v>35351.71</v>
      </c>
      <c r="S259" s="402">
        <v>21773.360000000001</v>
      </c>
      <c r="T259" s="402">
        <v>27578.01</v>
      </c>
      <c r="U259" s="402">
        <v>37569.99</v>
      </c>
      <c r="V259" s="402">
        <v>0</v>
      </c>
      <c r="W259" s="402">
        <v>0</v>
      </c>
      <c r="X259" s="402">
        <v>0</v>
      </c>
      <c r="Y259" s="402">
        <v>0</v>
      </c>
      <c r="Z259" s="402">
        <v>0</v>
      </c>
      <c r="AA259" s="402">
        <v>175706.46</v>
      </c>
    </row>
    <row r="260" spans="10:27" ht="15" customHeight="1" x14ac:dyDescent="0.25">
      <c r="J260" s="400" t="s">
        <v>336</v>
      </c>
      <c r="K260" s="401" t="s">
        <v>785</v>
      </c>
      <c r="L260" s="402" t="s">
        <v>786</v>
      </c>
      <c r="M260" s="402">
        <v>135550.38</v>
      </c>
      <c r="N260" s="402">
        <v>0</v>
      </c>
      <c r="O260" s="402">
        <v>19012.939999999999</v>
      </c>
      <c r="P260" s="402">
        <v>22189.74</v>
      </c>
      <c r="Q260" s="402">
        <v>15600.28</v>
      </c>
      <c r="R260" s="402">
        <v>4904</v>
      </c>
      <c r="S260" s="402">
        <v>45495.07</v>
      </c>
      <c r="T260" s="402">
        <v>21824.69</v>
      </c>
      <c r="U260" s="402">
        <v>6523.66</v>
      </c>
      <c r="V260" s="402">
        <v>0</v>
      </c>
      <c r="W260" s="402">
        <v>0</v>
      </c>
      <c r="X260" s="402">
        <v>0</v>
      </c>
      <c r="Y260" s="402">
        <v>0</v>
      </c>
      <c r="Z260" s="402">
        <v>0</v>
      </c>
      <c r="AA260" s="402">
        <v>135550.38</v>
      </c>
    </row>
    <row r="261" spans="10:27" ht="15" customHeight="1" x14ac:dyDescent="0.25">
      <c r="J261" s="400" t="s">
        <v>336</v>
      </c>
      <c r="K261" s="401" t="s">
        <v>787</v>
      </c>
      <c r="L261" s="402" t="s">
        <v>788</v>
      </c>
      <c r="M261" s="402">
        <v>237543.63</v>
      </c>
      <c r="N261" s="402">
        <v>0</v>
      </c>
      <c r="O261" s="402">
        <v>0</v>
      </c>
      <c r="P261" s="402">
        <v>0</v>
      </c>
      <c r="Q261" s="402">
        <v>120000</v>
      </c>
      <c r="R261" s="402">
        <v>-41366.04</v>
      </c>
      <c r="S261" s="402">
        <v>40000</v>
      </c>
      <c r="T261" s="402">
        <v>38996.99</v>
      </c>
      <c r="U261" s="402">
        <v>79912.679999999993</v>
      </c>
      <c r="V261" s="402">
        <v>0</v>
      </c>
      <c r="W261" s="402">
        <v>0</v>
      </c>
      <c r="X261" s="402">
        <v>0</v>
      </c>
      <c r="Y261" s="402">
        <v>0</v>
      </c>
      <c r="Z261" s="402">
        <v>0</v>
      </c>
      <c r="AA261" s="402">
        <v>237543.63</v>
      </c>
    </row>
    <row r="262" spans="10:27" ht="15" customHeight="1" x14ac:dyDescent="0.25">
      <c r="J262" s="400" t="s">
        <v>336</v>
      </c>
      <c r="K262" s="401" t="s">
        <v>789</v>
      </c>
      <c r="L262" s="402" t="s">
        <v>790</v>
      </c>
      <c r="M262" s="402">
        <v>97966.28</v>
      </c>
      <c r="N262" s="402">
        <v>0</v>
      </c>
      <c r="O262" s="402">
        <v>10987.3</v>
      </c>
      <c r="P262" s="402">
        <v>10744.6</v>
      </c>
      <c r="Q262" s="402">
        <v>10620.2</v>
      </c>
      <c r="R262" s="402">
        <v>22196.5</v>
      </c>
      <c r="S262" s="402">
        <v>10877.5</v>
      </c>
      <c r="T262" s="402">
        <v>21064.78</v>
      </c>
      <c r="U262" s="402">
        <v>11475.4</v>
      </c>
      <c r="V262" s="402">
        <v>0</v>
      </c>
      <c r="W262" s="402">
        <v>0</v>
      </c>
      <c r="X262" s="402">
        <v>0</v>
      </c>
      <c r="Y262" s="402">
        <v>0</v>
      </c>
      <c r="Z262" s="402">
        <v>0</v>
      </c>
      <c r="AA262" s="402">
        <v>97966.28</v>
      </c>
    </row>
    <row r="263" spans="10:27" ht="15" customHeight="1" x14ac:dyDescent="0.25">
      <c r="J263" s="400" t="s">
        <v>336</v>
      </c>
      <c r="K263" s="401" t="s">
        <v>791</v>
      </c>
      <c r="L263" s="402" t="s">
        <v>792</v>
      </c>
      <c r="M263" s="402">
        <v>18666669</v>
      </c>
      <c r="N263" s="402">
        <v>0</v>
      </c>
      <c r="O263" s="402">
        <v>2666667</v>
      </c>
      <c r="P263" s="402">
        <v>2666667</v>
      </c>
      <c r="Q263" s="402">
        <v>2666667</v>
      </c>
      <c r="R263" s="402">
        <v>2666667</v>
      </c>
      <c r="S263" s="402">
        <v>2666667</v>
      </c>
      <c r="T263" s="402">
        <v>2666667</v>
      </c>
      <c r="U263" s="402">
        <v>2666667</v>
      </c>
      <c r="V263" s="402">
        <v>0</v>
      </c>
      <c r="W263" s="402">
        <v>0</v>
      </c>
      <c r="X263" s="402">
        <v>0</v>
      </c>
      <c r="Y263" s="402">
        <v>0</v>
      </c>
      <c r="Z263" s="402">
        <v>0</v>
      </c>
      <c r="AA263" s="402">
        <v>18666669</v>
      </c>
    </row>
    <row r="264" spans="10:27" ht="15" customHeight="1" x14ac:dyDescent="0.25">
      <c r="J264" s="400" t="s">
        <v>336</v>
      </c>
      <c r="K264" s="401" t="s">
        <v>793</v>
      </c>
      <c r="L264" s="402" t="s">
        <v>794</v>
      </c>
      <c r="M264" s="402">
        <v>-800767.5</v>
      </c>
      <c r="N264" s="402">
        <v>0</v>
      </c>
      <c r="O264" s="402">
        <v>0</v>
      </c>
      <c r="P264" s="402">
        <v>0</v>
      </c>
      <c r="Q264" s="402">
        <v>-423721.25</v>
      </c>
      <c r="R264" s="402">
        <v>0</v>
      </c>
      <c r="S264" s="402">
        <v>0</v>
      </c>
      <c r="T264" s="402">
        <v>-377046.25</v>
      </c>
      <c r="U264" s="402">
        <v>0</v>
      </c>
      <c r="V264" s="402">
        <v>0</v>
      </c>
      <c r="W264" s="402">
        <v>0</v>
      </c>
      <c r="X264" s="402">
        <v>0</v>
      </c>
      <c r="Y264" s="402">
        <v>0</v>
      </c>
      <c r="Z264" s="402">
        <v>0</v>
      </c>
      <c r="AA264" s="402">
        <v>-800767.5</v>
      </c>
    </row>
    <row r="265" spans="10:27" ht="15" customHeight="1" x14ac:dyDescent="0.25">
      <c r="J265" s="400" t="s">
        <v>336</v>
      </c>
      <c r="K265" s="401" t="s">
        <v>795</v>
      </c>
      <c r="L265" s="402" t="s">
        <v>796</v>
      </c>
      <c r="M265" s="402">
        <v>950863</v>
      </c>
      <c r="N265" s="402">
        <v>0</v>
      </c>
      <c r="O265" s="402">
        <v>0</v>
      </c>
      <c r="P265" s="402">
        <v>0</v>
      </c>
      <c r="Q265" s="402">
        <v>524015.5</v>
      </c>
      <c r="R265" s="402">
        <v>0</v>
      </c>
      <c r="S265" s="402">
        <v>0</v>
      </c>
      <c r="T265" s="402">
        <v>426847.5</v>
      </c>
      <c r="U265" s="402">
        <v>0</v>
      </c>
      <c r="V265" s="402">
        <v>0</v>
      </c>
      <c r="W265" s="402">
        <v>0</v>
      </c>
      <c r="X265" s="402">
        <v>0</v>
      </c>
      <c r="Y265" s="402">
        <v>0</v>
      </c>
      <c r="Z265" s="402">
        <v>0</v>
      </c>
      <c r="AA265" s="402">
        <v>950863</v>
      </c>
    </row>
    <row r="266" spans="10:27" ht="15" customHeight="1" x14ac:dyDescent="0.25">
      <c r="J266" s="400" t="s">
        <v>336</v>
      </c>
      <c r="K266" s="401" t="s">
        <v>797</v>
      </c>
      <c r="L266" s="402" t="s">
        <v>798</v>
      </c>
      <c r="M266" s="402">
        <v>1573637</v>
      </c>
      <c r="N266" s="402">
        <v>0</v>
      </c>
      <c r="O266" s="402">
        <v>0</v>
      </c>
      <c r="P266" s="402">
        <v>0</v>
      </c>
      <c r="Q266" s="402">
        <v>754832</v>
      </c>
      <c r="R266" s="402">
        <v>0</v>
      </c>
      <c r="S266" s="402">
        <v>0</v>
      </c>
      <c r="T266" s="402">
        <v>818805</v>
      </c>
      <c r="U266" s="402">
        <v>0</v>
      </c>
      <c r="V266" s="402">
        <v>0</v>
      </c>
      <c r="W266" s="402">
        <v>0</v>
      </c>
      <c r="X266" s="402">
        <v>0</v>
      </c>
      <c r="Y266" s="402">
        <v>0</v>
      </c>
      <c r="Z266" s="402">
        <v>0</v>
      </c>
      <c r="AA266" s="402">
        <v>1573637</v>
      </c>
    </row>
    <row r="267" spans="10:27" ht="15" customHeight="1" x14ac:dyDescent="0.25">
      <c r="J267" s="400" t="s">
        <v>336</v>
      </c>
      <c r="K267" s="401" t="s">
        <v>799</v>
      </c>
      <c r="L267" s="402" t="s">
        <v>800</v>
      </c>
      <c r="M267" s="402">
        <v>2937283.78</v>
      </c>
      <c r="N267" s="402">
        <v>0</v>
      </c>
      <c r="O267" s="402">
        <v>0</v>
      </c>
      <c r="P267" s="402">
        <v>0</v>
      </c>
      <c r="Q267" s="402">
        <v>1128052.1499999999</v>
      </c>
      <c r="R267" s="402">
        <v>0</v>
      </c>
      <c r="S267" s="402">
        <v>0</v>
      </c>
      <c r="T267" s="402">
        <v>1809231.63</v>
      </c>
      <c r="U267" s="402">
        <v>0</v>
      </c>
      <c r="V267" s="402">
        <v>0</v>
      </c>
      <c r="W267" s="402">
        <v>0</v>
      </c>
      <c r="X267" s="402">
        <v>0</v>
      </c>
      <c r="Y267" s="402">
        <v>0</v>
      </c>
      <c r="Z267" s="402">
        <v>0</v>
      </c>
      <c r="AA267" s="402">
        <v>2937283.78</v>
      </c>
    </row>
    <row r="268" spans="10:27" ht="15" customHeight="1" x14ac:dyDescent="0.25">
      <c r="J268" s="400" t="s">
        <v>336</v>
      </c>
      <c r="K268" s="401" t="s">
        <v>801</v>
      </c>
      <c r="L268" s="402" t="s">
        <v>802</v>
      </c>
      <c r="M268" s="402">
        <v>122328.75</v>
      </c>
      <c r="N268" s="402">
        <v>0</v>
      </c>
      <c r="O268" s="402">
        <v>32870.410000000003</v>
      </c>
      <c r="P268" s="402">
        <v>23322.68</v>
      </c>
      <c r="Q268" s="402">
        <v>13574.93</v>
      </c>
      <c r="R268" s="402">
        <v>-18145.41</v>
      </c>
      <c r="S268" s="402">
        <v>18557.849999999999</v>
      </c>
      <c r="T268" s="402">
        <v>121199.26</v>
      </c>
      <c r="U268" s="402">
        <v>-69050.97</v>
      </c>
      <c r="V268" s="402">
        <v>0</v>
      </c>
      <c r="W268" s="402">
        <v>0</v>
      </c>
      <c r="X268" s="402">
        <v>0</v>
      </c>
      <c r="Y268" s="402">
        <v>0</v>
      </c>
      <c r="Z268" s="402">
        <v>0</v>
      </c>
      <c r="AA268" s="402">
        <v>122328.75</v>
      </c>
    </row>
    <row r="269" spans="10:27" ht="15" customHeight="1" x14ac:dyDescent="0.25">
      <c r="J269" s="400" t="s">
        <v>336</v>
      </c>
      <c r="K269" s="401" t="s">
        <v>803</v>
      </c>
      <c r="L269" s="402" t="s">
        <v>804</v>
      </c>
      <c r="M269" s="402">
        <v>4810579.51</v>
      </c>
      <c r="N269" s="402">
        <v>0</v>
      </c>
      <c r="O269" s="402">
        <v>609782.59</v>
      </c>
      <c r="P269" s="402">
        <v>598664.19999999995</v>
      </c>
      <c r="Q269" s="402">
        <v>847676.63</v>
      </c>
      <c r="R269" s="402">
        <v>605583.30000000005</v>
      </c>
      <c r="S269" s="402">
        <v>622350.89</v>
      </c>
      <c r="T269" s="402">
        <v>906207.35</v>
      </c>
      <c r="U269" s="402">
        <v>620314.55000000005</v>
      </c>
      <c r="V269" s="402">
        <v>0</v>
      </c>
      <c r="W269" s="402">
        <v>0</v>
      </c>
      <c r="X269" s="402">
        <v>0</v>
      </c>
      <c r="Y269" s="402">
        <v>0</v>
      </c>
      <c r="Z269" s="402">
        <v>0</v>
      </c>
      <c r="AA269" s="402">
        <v>4810579.51</v>
      </c>
    </row>
    <row r="270" spans="10:27" ht="15" customHeight="1" x14ac:dyDescent="0.25">
      <c r="J270" s="400" t="s">
        <v>336</v>
      </c>
      <c r="K270" s="401" t="s">
        <v>805</v>
      </c>
      <c r="L270" s="402" t="s">
        <v>806</v>
      </c>
      <c r="M270" s="402">
        <v>165313.69</v>
      </c>
      <c r="N270" s="402">
        <v>0</v>
      </c>
      <c r="O270" s="402">
        <v>0</v>
      </c>
      <c r="P270" s="402">
        <v>0</v>
      </c>
      <c r="Q270" s="402">
        <v>165313.69</v>
      </c>
      <c r="R270" s="402">
        <v>0</v>
      </c>
      <c r="S270" s="402">
        <v>0</v>
      </c>
      <c r="T270" s="402">
        <v>0</v>
      </c>
      <c r="U270" s="402">
        <v>0</v>
      </c>
      <c r="V270" s="402">
        <v>0</v>
      </c>
      <c r="W270" s="402">
        <v>0</v>
      </c>
      <c r="X270" s="402">
        <v>0</v>
      </c>
      <c r="Y270" s="402">
        <v>0</v>
      </c>
      <c r="Z270" s="402">
        <v>0</v>
      </c>
      <c r="AA270" s="402">
        <v>165313.69</v>
      </c>
    </row>
    <row r="271" spans="10:27" ht="15" customHeight="1" x14ac:dyDescent="0.25">
      <c r="J271" s="400" t="s">
        <v>336</v>
      </c>
      <c r="K271" s="401" t="s">
        <v>807</v>
      </c>
      <c r="L271" s="402" t="s">
        <v>808</v>
      </c>
      <c r="M271" s="402">
        <v>1057531.05</v>
      </c>
      <c r="N271" s="402">
        <v>0</v>
      </c>
      <c r="O271" s="402">
        <v>0</v>
      </c>
      <c r="P271" s="402">
        <v>0</v>
      </c>
      <c r="Q271" s="402">
        <v>-3829.34</v>
      </c>
      <c r="R271" s="402">
        <v>0</v>
      </c>
      <c r="S271" s="402">
        <v>0</v>
      </c>
      <c r="T271" s="402">
        <v>1061360.3899999999</v>
      </c>
      <c r="U271" s="402">
        <v>0</v>
      </c>
      <c r="V271" s="402">
        <v>0</v>
      </c>
      <c r="W271" s="402">
        <v>0</v>
      </c>
      <c r="X271" s="402">
        <v>0</v>
      </c>
      <c r="Y271" s="402">
        <v>0</v>
      </c>
      <c r="Z271" s="402">
        <v>0</v>
      </c>
      <c r="AA271" s="402">
        <v>1057531.05</v>
      </c>
    </row>
    <row r="272" spans="10:27" ht="15" customHeight="1" x14ac:dyDescent="0.25">
      <c r="J272" s="400" t="s">
        <v>336</v>
      </c>
      <c r="K272" s="401" t="s">
        <v>809</v>
      </c>
      <c r="L272" s="402" t="s">
        <v>810</v>
      </c>
      <c r="M272" s="402">
        <v>650000</v>
      </c>
      <c r="N272" s="402">
        <v>0</v>
      </c>
      <c r="O272" s="402">
        <v>0</v>
      </c>
      <c r="P272" s="402">
        <v>0</v>
      </c>
      <c r="Q272" s="402">
        <v>425000</v>
      </c>
      <c r="R272" s="402">
        <v>0</v>
      </c>
      <c r="S272" s="402">
        <v>0</v>
      </c>
      <c r="T272" s="402">
        <v>225000</v>
      </c>
      <c r="U272" s="402">
        <v>0</v>
      </c>
      <c r="V272" s="402">
        <v>0</v>
      </c>
      <c r="W272" s="402">
        <v>0</v>
      </c>
      <c r="X272" s="402">
        <v>0</v>
      </c>
      <c r="Y272" s="402">
        <v>0</v>
      </c>
      <c r="Z272" s="402">
        <v>0</v>
      </c>
      <c r="AA272" s="402">
        <v>650000</v>
      </c>
    </row>
    <row r="273" spans="10:27" ht="15" customHeight="1" x14ac:dyDescent="0.25">
      <c r="J273" s="400" t="s">
        <v>336</v>
      </c>
      <c r="K273" s="401" t="s">
        <v>811</v>
      </c>
      <c r="L273" s="402" t="s">
        <v>812</v>
      </c>
      <c r="M273" s="402">
        <v>882430.39</v>
      </c>
      <c r="N273" s="402">
        <v>0</v>
      </c>
      <c r="O273" s="402">
        <v>0</v>
      </c>
      <c r="P273" s="402">
        <v>190000</v>
      </c>
      <c r="Q273" s="402">
        <v>312757.02</v>
      </c>
      <c r="R273" s="402">
        <v>-92735.15</v>
      </c>
      <c r="S273" s="402">
        <v>90000</v>
      </c>
      <c r="T273" s="402">
        <v>158765.60999999999</v>
      </c>
      <c r="U273" s="402">
        <v>223642.91</v>
      </c>
      <c r="V273" s="402">
        <v>0</v>
      </c>
      <c r="W273" s="402">
        <v>0</v>
      </c>
      <c r="X273" s="402">
        <v>0</v>
      </c>
      <c r="Y273" s="402">
        <v>0</v>
      </c>
      <c r="Z273" s="402">
        <v>0</v>
      </c>
      <c r="AA273" s="402">
        <v>882430.39</v>
      </c>
    </row>
    <row r="274" spans="10:27" ht="15" customHeight="1" x14ac:dyDescent="0.25">
      <c r="J274" s="400" t="s">
        <v>336</v>
      </c>
      <c r="K274" s="401" t="s">
        <v>813</v>
      </c>
      <c r="L274" s="402" t="s">
        <v>814</v>
      </c>
      <c r="M274" s="402">
        <v>700000</v>
      </c>
      <c r="N274" s="402">
        <v>0</v>
      </c>
      <c r="O274" s="402">
        <v>100000</v>
      </c>
      <c r="P274" s="402">
        <v>100000</v>
      </c>
      <c r="Q274" s="402">
        <v>100000</v>
      </c>
      <c r="R274" s="402">
        <v>100000</v>
      </c>
      <c r="S274" s="402">
        <v>100000</v>
      </c>
      <c r="T274" s="402">
        <v>100000</v>
      </c>
      <c r="U274" s="402">
        <v>100000</v>
      </c>
      <c r="V274" s="402">
        <v>0</v>
      </c>
      <c r="W274" s="402">
        <v>0</v>
      </c>
      <c r="X274" s="402">
        <v>0</v>
      </c>
      <c r="Y274" s="402">
        <v>0</v>
      </c>
      <c r="Z274" s="402">
        <v>0</v>
      </c>
      <c r="AA274" s="402">
        <v>700000</v>
      </c>
    </row>
    <row r="275" spans="10:27" ht="15" customHeight="1" x14ac:dyDescent="0.25">
      <c r="J275" s="400" t="s">
        <v>336</v>
      </c>
      <c r="K275" s="401" t="s">
        <v>815</v>
      </c>
      <c r="L275" s="402" t="s">
        <v>816</v>
      </c>
      <c r="M275" s="402">
        <v>1055022.5</v>
      </c>
      <c r="N275" s="402">
        <v>0</v>
      </c>
      <c r="O275" s="402">
        <v>0</v>
      </c>
      <c r="P275" s="402">
        <v>0</v>
      </c>
      <c r="Q275" s="402">
        <v>76646.25</v>
      </c>
      <c r="R275" s="402">
        <v>0</v>
      </c>
      <c r="S275" s="402">
        <v>0</v>
      </c>
      <c r="T275" s="402">
        <v>978376.25</v>
      </c>
      <c r="U275" s="402">
        <v>0</v>
      </c>
      <c r="V275" s="402">
        <v>0</v>
      </c>
      <c r="W275" s="402">
        <v>0</v>
      </c>
      <c r="X275" s="402">
        <v>0</v>
      </c>
      <c r="Y275" s="402">
        <v>0</v>
      </c>
      <c r="Z275" s="402">
        <v>0</v>
      </c>
      <c r="AA275" s="402">
        <v>1055022.5</v>
      </c>
    </row>
    <row r="276" spans="10:27" ht="15" customHeight="1" x14ac:dyDescent="0.25">
      <c r="J276" s="400" t="s">
        <v>336</v>
      </c>
      <c r="K276" s="401" t="s">
        <v>817</v>
      </c>
      <c r="L276" s="402" t="s">
        <v>818</v>
      </c>
      <c r="M276" s="402">
        <v>187581.71</v>
      </c>
      <c r="N276" s="402">
        <v>0</v>
      </c>
      <c r="O276" s="402">
        <v>0</v>
      </c>
      <c r="P276" s="402">
        <v>31164.28</v>
      </c>
      <c r="Q276" s="402">
        <v>56748.480000000003</v>
      </c>
      <c r="R276" s="402">
        <v>0</v>
      </c>
      <c r="S276" s="402">
        <v>99668.95</v>
      </c>
      <c r="T276" s="402">
        <v>0</v>
      </c>
      <c r="U276" s="402">
        <v>0</v>
      </c>
      <c r="V276" s="402">
        <v>0</v>
      </c>
      <c r="W276" s="402">
        <v>0</v>
      </c>
      <c r="X276" s="402">
        <v>0</v>
      </c>
      <c r="Y276" s="402">
        <v>0</v>
      </c>
      <c r="Z276" s="402">
        <v>0</v>
      </c>
      <c r="AA276" s="402">
        <v>187581.71</v>
      </c>
    </row>
    <row r="277" spans="10:27" ht="15" customHeight="1" x14ac:dyDescent="0.25">
      <c r="J277" s="400" t="s">
        <v>336</v>
      </c>
      <c r="K277" s="401" t="s">
        <v>819</v>
      </c>
      <c r="L277" s="402" t="s">
        <v>820</v>
      </c>
      <c r="M277" s="402">
        <v>116944.23</v>
      </c>
      <c r="N277" s="402">
        <v>0</v>
      </c>
      <c r="O277" s="402">
        <v>7977.68</v>
      </c>
      <c r="P277" s="402">
        <v>17885.919999999998</v>
      </c>
      <c r="Q277" s="402">
        <v>6909.82</v>
      </c>
      <c r="R277" s="402">
        <v>11630.93</v>
      </c>
      <c r="S277" s="402">
        <v>42086.37</v>
      </c>
      <c r="T277" s="402">
        <v>20804.59</v>
      </c>
      <c r="U277" s="402">
        <v>9648.92</v>
      </c>
      <c r="V277" s="402">
        <v>0</v>
      </c>
      <c r="W277" s="402">
        <v>0</v>
      </c>
      <c r="X277" s="402">
        <v>0</v>
      </c>
      <c r="Y277" s="402">
        <v>0</v>
      </c>
      <c r="Z277" s="402">
        <v>0</v>
      </c>
      <c r="AA277" s="402">
        <v>116944.23</v>
      </c>
    </row>
    <row r="278" spans="10:27" ht="15" customHeight="1" x14ac:dyDescent="0.25">
      <c r="J278" s="400" t="s">
        <v>336</v>
      </c>
      <c r="K278" s="401" t="s">
        <v>821</v>
      </c>
      <c r="L278" s="402" t="s">
        <v>822</v>
      </c>
      <c r="M278" s="402">
        <v>14474440.960000001</v>
      </c>
      <c r="N278" s="402">
        <v>0</v>
      </c>
      <c r="O278" s="402">
        <v>2174583.33</v>
      </c>
      <c r="P278" s="402">
        <v>2174583.33</v>
      </c>
      <c r="Q278" s="402">
        <v>2264349.9700000002</v>
      </c>
      <c r="R278" s="402">
        <v>2174583.33</v>
      </c>
      <c r="S278" s="402">
        <v>2174583.33</v>
      </c>
      <c r="T278" s="402">
        <v>1456804.19</v>
      </c>
      <c r="U278" s="402">
        <v>2054953.48</v>
      </c>
      <c r="V278" s="402">
        <v>0</v>
      </c>
      <c r="W278" s="402">
        <v>0</v>
      </c>
      <c r="X278" s="402">
        <v>0</v>
      </c>
      <c r="Y278" s="402">
        <v>0</v>
      </c>
      <c r="Z278" s="402">
        <v>0</v>
      </c>
      <c r="AA278" s="402">
        <v>14474440.960000001</v>
      </c>
    </row>
    <row r="279" spans="10:27" ht="15" customHeight="1" x14ac:dyDescent="0.25">
      <c r="J279" s="400" t="s">
        <v>336</v>
      </c>
      <c r="K279" s="401" t="s">
        <v>823</v>
      </c>
      <c r="L279" s="402" t="s">
        <v>824</v>
      </c>
      <c r="M279" s="402">
        <v>59475</v>
      </c>
      <c r="N279" s="402">
        <v>0</v>
      </c>
      <c r="O279" s="402">
        <v>75</v>
      </c>
      <c r="P279" s="402">
        <v>0</v>
      </c>
      <c r="Q279" s="402">
        <v>0</v>
      </c>
      <c r="R279" s="402">
        <v>37000</v>
      </c>
      <c r="S279" s="402">
        <v>0</v>
      </c>
      <c r="T279" s="402">
        <v>22400</v>
      </c>
      <c r="U279" s="402">
        <v>0</v>
      </c>
      <c r="V279" s="402">
        <v>0</v>
      </c>
      <c r="W279" s="402">
        <v>0</v>
      </c>
      <c r="X279" s="402">
        <v>0</v>
      </c>
      <c r="Y279" s="402">
        <v>0</v>
      </c>
      <c r="Z279" s="402">
        <v>0</v>
      </c>
      <c r="AA279" s="402">
        <v>59475</v>
      </c>
    </row>
    <row r="280" spans="10:27" ht="15" customHeight="1" x14ac:dyDescent="0.25">
      <c r="J280" s="400" t="s">
        <v>336</v>
      </c>
      <c r="K280" s="401" t="s">
        <v>825</v>
      </c>
      <c r="L280" s="402" t="s">
        <v>826</v>
      </c>
      <c r="M280" s="402">
        <v>354008.96</v>
      </c>
      <c r="N280" s="402">
        <v>-178403.11956389999</v>
      </c>
      <c r="O280" s="402">
        <v>0</v>
      </c>
      <c r="P280" s="402">
        <v>19.510000000000002</v>
      </c>
      <c r="Q280" s="402">
        <v>0</v>
      </c>
      <c r="R280" s="402">
        <v>0</v>
      </c>
      <c r="S280" s="402">
        <v>-1172.95</v>
      </c>
      <c r="T280" s="402">
        <v>-3764.33</v>
      </c>
      <c r="U280" s="402">
        <v>-3202.35</v>
      </c>
      <c r="V280" s="402">
        <v>72976.343999999997</v>
      </c>
      <c r="W280" s="402">
        <v>72288.183999999994</v>
      </c>
      <c r="X280" s="402">
        <v>72288.183999999994</v>
      </c>
      <c r="Y280" s="402">
        <v>72288.183999999994</v>
      </c>
      <c r="Z280" s="402">
        <v>72288.183999999994</v>
      </c>
      <c r="AA280" s="402">
        <v>354008.96</v>
      </c>
    </row>
    <row r="281" spans="10:27" ht="15" customHeight="1" x14ac:dyDescent="0.25">
      <c r="J281" s="400" t="s">
        <v>336</v>
      </c>
      <c r="K281" s="401" t="s">
        <v>827</v>
      </c>
      <c r="L281" s="402" t="s">
        <v>828</v>
      </c>
      <c r="M281" s="402">
        <v>-12950120.67</v>
      </c>
      <c r="N281" s="402">
        <v>0</v>
      </c>
      <c r="O281" s="402">
        <v>-1664049.75</v>
      </c>
      <c r="P281" s="402">
        <v>-1674197.86</v>
      </c>
      <c r="Q281" s="402">
        <v>-1921910.15</v>
      </c>
      <c r="R281" s="402">
        <v>-1731139.12</v>
      </c>
      <c r="S281" s="402">
        <v>-2070749.37</v>
      </c>
      <c r="T281" s="402">
        <v>-2047782.5</v>
      </c>
      <c r="U281" s="402">
        <v>-1840291.92</v>
      </c>
      <c r="V281" s="402">
        <v>0</v>
      </c>
      <c r="W281" s="402">
        <v>0</v>
      </c>
      <c r="X281" s="402">
        <v>0</v>
      </c>
      <c r="Y281" s="402">
        <v>0</v>
      </c>
      <c r="Z281" s="402">
        <v>0</v>
      </c>
      <c r="AA281" s="402">
        <v>-12950120.67</v>
      </c>
    </row>
    <row r="282" spans="10:27" ht="15" customHeight="1" x14ac:dyDescent="0.25">
      <c r="J282" s="400" t="s">
        <v>336</v>
      </c>
      <c r="K282" s="401" t="s">
        <v>829</v>
      </c>
      <c r="L282" s="402" t="s">
        <v>830</v>
      </c>
      <c r="M282" s="402">
        <v>0</v>
      </c>
      <c r="N282" s="402">
        <v>53057590.509465598</v>
      </c>
      <c r="O282" s="402">
        <v>0</v>
      </c>
      <c r="P282" s="402">
        <v>0</v>
      </c>
      <c r="Q282" s="402">
        <v>0</v>
      </c>
      <c r="R282" s="402">
        <v>0</v>
      </c>
      <c r="S282" s="402">
        <v>0</v>
      </c>
      <c r="T282" s="402">
        <v>0</v>
      </c>
      <c r="U282" s="402">
        <v>0</v>
      </c>
      <c r="V282" s="402">
        <v>0</v>
      </c>
      <c r="W282" s="402">
        <v>0</v>
      </c>
      <c r="X282" s="402">
        <v>0</v>
      </c>
      <c r="Y282" s="402">
        <v>0</v>
      </c>
      <c r="Z282" s="402">
        <v>0</v>
      </c>
      <c r="AA282" s="402">
        <v>0</v>
      </c>
    </row>
    <row r="283" spans="10:27" ht="15" customHeight="1" x14ac:dyDescent="0.25">
      <c r="J283" s="400" t="s">
        <v>336</v>
      </c>
      <c r="K283" s="401" t="s">
        <v>831</v>
      </c>
      <c r="L283" s="402" t="s">
        <v>832</v>
      </c>
      <c r="M283" s="402">
        <v>21063367.087508202</v>
      </c>
      <c r="N283" s="402">
        <v>0</v>
      </c>
      <c r="O283" s="402">
        <v>0</v>
      </c>
      <c r="P283" s="402">
        <v>0</v>
      </c>
      <c r="Q283" s="402">
        <v>0</v>
      </c>
      <c r="R283" s="402">
        <v>0</v>
      </c>
      <c r="S283" s="402">
        <v>0</v>
      </c>
      <c r="T283" s="402">
        <v>0</v>
      </c>
      <c r="U283" s="402">
        <v>0</v>
      </c>
      <c r="V283" s="402">
        <v>4390550.3273459999</v>
      </c>
      <c r="W283" s="402">
        <v>4047172.3094080002</v>
      </c>
      <c r="X283" s="402">
        <v>4264552.0792023996</v>
      </c>
      <c r="Y283" s="402">
        <v>4263527.0668401998</v>
      </c>
      <c r="Z283" s="402">
        <v>4097565.3047115998</v>
      </c>
      <c r="AA283" s="402">
        <v>21063367.087508202</v>
      </c>
    </row>
    <row r="284" spans="10:27" ht="15" customHeight="1" x14ac:dyDescent="0.25">
      <c r="J284" s="400" t="s">
        <v>336</v>
      </c>
      <c r="K284" s="401" t="s">
        <v>833</v>
      </c>
      <c r="L284" s="402" t="s">
        <v>834</v>
      </c>
      <c r="M284" s="402">
        <v>-33384994.344399702</v>
      </c>
      <c r="N284" s="402">
        <v>-86187831.996610403</v>
      </c>
      <c r="O284" s="402">
        <v>0</v>
      </c>
      <c r="P284" s="402">
        <v>0</v>
      </c>
      <c r="Q284" s="402">
        <v>0</v>
      </c>
      <c r="R284" s="402">
        <v>0</v>
      </c>
      <c r="S284" s="402">
        <v>0</v>
      </c>
      <c r="T284" s="402">
        <v>0</v>
      </c>
      <c r="U284" s="402">
        <v>0</v>
      </c>
      <c r="V284" s="402">
        <v>-6970467.4835738996</v>
      </c>
      <c r="W284" s="402">
        <v>-6423368.2824513</v>
      </c>
      <c r="X284" s="402">
        <v>-6766129.2245418997</v>
      </c>
      <c r="Y284" s="402">
        <v>-6754858.9012519997</v>
      </c>
      <c r="Z284" s="402">
        <v>-6470170.4525806</v>
      </c>
      <c r="AA284" s="402">
        <v>-33384994.344399702</v>
      </c>
    </row>
    <row r="285" spans="10:27" ht="15" customHeight="1" x14ac:dyDescent="0.25">
      <c r="J285" s="400" t="s">
        <v>336</v>
      </c>
      <c r="K285" s="401" t="s">
        <v>835</v>
      </c>
      <c r="L285" s="402" t="s">
        <v>836</v>
      </c>
      <c r="M285" s="402">
        <v>5619427.0199999996</v>
      </c>
      <c r="N285" s="402">
        <v>0</v>
      </c>
      <c r="O285" s="402">
        <v>717114.52</v>
      </c>
      <c r="P285" s="402">
        <v>739324.72</v>
      </c>
      <c r="Q285" s="402">
        <v>692395.78</v>
      </c>
      <c r="R285" s="402">
        <v>741573.98</v>
      </c>
      <c r="S285" s="402">
        <v>777118.74</v>
      </c>
      <c r="T285" s="402">
        <v>1157794.22</v>
      </c>
      <c r="U285" s="402">
        <v>794105.06</v>
      </c>
      <c r="V285" s="402">
        <v>0</v>
      </c>
      <c r="W285" s="402">
        <v>0</v>
      </c>
      <c r="X285" s="402">
        <v>0</v>
      </c>
      <c r="Y285" s="402">
        <v>0</v>
      </c>
      <c r="Z285" s="402">
        <v>0</v>
      </c>
      <c r="AA285" s="402">
        <v>5619427.0199999996</v>
      </c>
    </row>
    <row r="286" spans="10:27" ht="15" customHeight="1" x14ac:dyDescent="0.25">
      <c r="J286" s="400" t="s">
        <v>336</v>
      </c>
      <c r="K286" s="401" t="s">
        <v>837</v>
      </c>
      <c r="L286" s="402" t="s">
        <v>838</v>
      </c>
      <c r="M286" s="402">
        <v>127500</v>
      </c>
      <c r="N286" s="402">
        <v>306000</v>
      </c>
      <c r="O286" s="402">
        <v>0</v>
      </c>
      <c r="P286" s="402">
        <v>0</v>
      </c>
      <c r="Q286" s="402">
        <v>0</v>
      </c>
      <c r="R286" s="402">
        <v>0</v>
      </c>
      <c r="S286" s="402">
        <v>0</v>
      </c>
      <c r="T286" s="402">
        <v>0</v>
      </c>
      <c r="U286" s="402">
        <v>0</v>
      </c>
      <c r="V286" s="402">
        <v>25500</v>
      </c>
      <c r="W286" s="402">
        <v>25500</v>
      </c>
      <c r="X286" s="402">
        <v>25500</v>
      </c>
      <c r="Y286" s="402">
        <v>25500</v>
      </c>
      <c r="Z286" s="402">
        <v>25500</v>
      </c>
      <c r="AA286" s="402">
        <v>127500</v>
      </c>
    </row>
    <row r="287" spans="10:27" ht="15" customHeight="1" x14ac:dyDescent="0.25">
      <c r="J287" s="400" t="s">
        <v>336</v>
      </c>
      <c r="K287" s="401" t="s">
        <v>839</v>
      </c>
      <c r="L287" s="402" t="s">
        <v>840</v>
      </c>
      <c r="M287" s="402">
        <v>89583.333333500006</v>
      </c>
      <c r="N287" s="402">
        <v>215000.0000004</v>
      </c>
      <c r="O287" s="402">
        <v>0</v>
      </c>
      <c r="P287" s="402">
        <v>0</v>
      </c>
      <c r="Q287" s="402">
        <v>0</v>
      </c>
      <c r="R287" s="402">
        <v>0</v>
      </c>
      <c r="S287" s="402">
        <v>0</v>
      </c>
      <c r="T287" s="402">
        <v>0</v>
      </c>
      <c r="U287" s="402">
        <v>0</v>
      </c>
      <c r="V287" s="402">
        <v>17916.666666699999</v>
      </c>
      <c r="W287" s="402">
        <v>17916.666666699999</v>
      </c>
      <c r="X287" s="402">
        <v>17916.666666699999</v>
      </c>
      <c r="Y287" s="402">
        <v>17916.666666699999</v>
      </c>
      <c r="Z287" s="402">
        <v>17916.666666699999</v>
      </c>
      <c r="AA287" s="402">
        <v>89583.333333500006</v>
      </c>
    </row>
    <row r="288" spans="10:27" ht="15" customHeight="1" x14ac:dyDescent="0.25">
      <c r="J288" s="400" t="s">
        <v>336</v>
      </c>
      <c r="K288" s="401" t="s">
        <v>841</v>
      </c>
      <c r="L288" s="402" t="s">
        <v>842</v>
      </c>
      <c r="M288" s="402">
        <v>148333.33333349999</v>
      </c>
      <c r="N288" s="402">
        <v>356000.0000004</v>
      </c>
      <c r="O288" s="402">
        <v>0</v>
      </c>
      <c r="P288" s="402">
        <v>0</v>
      </c>
      <c r="Q288" s="402">
        <v>0</v>
      </c>
      <c r="R288" s="402">
        <v>0</v>
      </c>
      <c r="S288" s="402">
        <v>0</v>
      </c>
      <c r="T288" s="402">
        <v>0</v>
      </c>
      <c r="U288" s="402">
        <v>0</v>
      </c>
      <c r="V288" s="402">
        <v>29666.666666699999</v>
      </c>
      <c r="W288" s="402">
        <v>29666.666666699999</v>
      </c>
      <c r="X288" s="402">
        <v>29666.666666699999</v>
      </c>
      <c r="Y288" s="402">
        <v>29666.666666699999</v>
      </c>
      <c r="Z288" s="402">
        <v>29666.666666699999</v>
      </c>
      <c r="AA288" s="402">
        <v>148333.33333349999</v>
      </c>
    </row>
    <row r="289" spans="10:27" ht="15" customHeight="1" x14ac:dyDescent="0.25">
      <c r="J289" s="400" t="s">
        <v>336</v>
      </c>
      <c r="K289" s="401" t="s">
        <v>843</v>
      </c>
      <c r="L289" s="402" t="s">
        <v>844</v>
      </c>
      <c r="M289" s="402">
        <v>60000</v>
      </c>
      <c r="N289" s="402">
        <v>144000</v>
      </c>
      <c r="O289" s="402">
        <v>0</v>
      </c>
      <c r="P289" s="402">
        <v>0</v>
      </c>
      <c r="Q289" s="402">
        <v>0</v>
      </c>
      <c r="R289" s="402">
        <v>0</v>
      </c>
      <c r="S289" s="402">
        <v>0</v>
      </c>
      <c r="T289" s="402">
        <v>0</v>
      </c>
      <c r="U289" s="402">
        <v>0</v>
      </c>
      <c r="V289" s="402">
        <v>12000</v>
      </c>
      <c r="W289" s="402">
        <v>12000</v>
      </c>
      <c r="X289" s="402">
        <v>12000</v>
      </c>
      <c r="Y289" s="402">
        <v>12000</v>
      </c>
      <c r="Z289" s="402">
        <v>12000</v>
      </c>
      <c r="AA289" s="402">
        <v>60000</v>
      </c>
    </row>
    <row r="290" spans="10:27" ht="15" customHeight="1" x14ac:dyDescent="0.25">
      <c r="J290" s="400" t="s">
        <v>336</v>
      </c>
      <c r="K290" s="401" t="s">
        <v>845</v>
      </c>
      <c r="L290" s="402" t="s">
        <v>846</v>
      </c>
      <c r="M290" s="402">
        <v>13333333.3333335</v>
      </c>
      <c r="N290" s="402">
        <v>32000000.000000399</v>
      </c>
      <c r="O290" s="402">
        <v>0</v>
      </c>
      <c r="P290" s="402">
        <v>0</v>
      </c>
      <c r="Q290" s="402">
        <v>0</v>
      </c>
      <c r="R290" s="402">
        <v>0</v>
      </c>
      <c r="S290" s="402">
        <v>0</v>
      </c>
      <c r="T290" s="402">
        <v>0</v>
      </c>
      <c r="U290" s="402">
        <v>0</v>
      </c>
      <c r="V290" s="402">
        <v>2666666.6666667</v>
      </c>
      <c r="W290" s="402">
        <v>2666666.6666667</v>
      </c>
      <c r="X290" s="402">
        <v>2666666.6666667</v>
      </c>
      <c r="Y290" s="402">
        <v>2666666.6666667</v>
      </c>
      <c r="Z290" s="402">
        <v>2666666.6666667</v>
      </c>
      <c r="AA290" s="402">
        <v>13333333.3333335</v>
      </c>
    </row>
    <row r="291" spans="10:27" ht="15" customHeight="1" x14ac:dyDescent="0.25">
      <c r="J291" s="400" t="s">
        <v>336</v>
      </c>
      <c r="K291" s="401" t="s">
        <v>847</v>
      </c>
      <c r="L291" s="402" t="s">
        <v>848</v>
      </c>
      <c r="M291" s="402">
        <v>-800767.5</v>
      </c>
      <c r="N291" s="402">
        <v>-1845184</v>
      </c>
      <c r="O291" s="402">
        <v>0</v>
      </c>
      <c r="P291" s="402">
        <v>0</v>
      </c>
      <c r="Q291" s="402">
        <v>0</v>
      </c>
      <c r="R291" s="402">
        <v>0</v>
      </c>
      <c r="S291" s="402">
        <v>0</v>
      </c>
      <c r="T291" s="402">
        <v>0</v>
      </c>
      <c r="U291" s="402">
        <v>0</v>
      </c>
      <c r="V291" s="402">
        <v>0</v>
      </c>
      <c r="W291" s="402">
        <v>-400383.75</v>
      </c>
      <c r="X291" s="402">
        <v>0</v>
      </c>
      <c r="Y291" s="402">
        <v>0</v>
      </c>
      <c r="Z291" s="402">
        <v>-400383.75</v>
      </c>
      <c r="AA291" s="402">
        <v>-800767.5</v>
      </c>
    </row>
    <row r="292" spans="10:27" ht="15" customHeight="1" x14ac:dyDescent="0.25">
      <c r="J292" s="400" t="s">
        <v>336</v>
      </c>
      <c r="K292" s="401" t="s">
        <v>849</v>
      </c>
      <c r="L292" s="402" t="s">
        <v>850</v>
      </c>
      <c r="M292" s="402">
        <v>950863</v>
      </c>
      <c r="N292" s="402">
        <v>2188733</v>
      </c>
      <c r="O292" s="402">
        <v>0</v>
      </c>
      <c r="P292" s="402">
        <v>0</v>
      </c>
      <c r="Q292" s="402">
        <v>0</v>
      </c>
      <c r="R292" s="402">
        <v>0</v>
      </c>
      <c r="S292" s="402">
        <v>0</v>
      </c>
      <c r="T292" s="402">
        <v>0</v>
      </c>
      <c r="U292" s="402">
        <v>0</v>
      </c>
      <c r="V292" s="402">
        <v>0</v>
      </c>
      <c r="W292" s="402">
        <v>475431.5</v>
      </c>
      <c r="X292" s="402">
        <v>0</v>
      </c>
      <c r="Y292" s="402">
        <v>0</v>
      </c>
      <c r="Z292" s="402">
        <v>475431.5</v>
      </c>
      <c r="AA292" s="402">
        <v>950863</v>
      </c>
    </row>
    <row r="293" spans="10:27" ht="15" customHeight="1" x14ac:dyDescent="0.25">
      <c r="J293" s="400" t="s">
        <v>336</v>
      </c>
      <c r="K293" s="401" t="s">
        <v>851</v>
      </c>
      <c r="L293" s="402" t="s">
        <v>852</v>
      </c>
      <c r="M293" s="402">
        <v>1573637</v>
      </c>
      <c r="N293" s="402">
        <v>3019267</v>
      </c>
      <c r="O293" s="402">
        <v>0</v>
      </c>
      <c r="P293" s="402">
        <v>0</v>
      </c>
      <c r="Q293" s="402">
        <v>0</v>
      </c>
      <c r="R293" s="402">
        <v>0</v>
      </c>
      <c r="S293" s="402">
        <v>0</v>
      </c>
      <c r="T293" s="402">
        <v>0</v>
      </c>
      <c r="U293" s="402">
        <v>0</v>
      </c>
      <c r="V293" s="402">
        <v>0</v>
      </c>
      <c r="W293" s="402">
        <v>786818.5</v>
      </c>
      <c r="X293" s="402">
        <v>0</v>
      </c>
      <c r="Y293" s="402">
        <v>0</v>
      </c>
      <c r="Z293" s="402">
        <v>786818.5</v>
      </c>
      <c r="AA293" s="402">
        <v>1573637</v>
      </c>
    </row>
    <row r="294" spans="10:27" ht="15" customHeight="1" x14ac:dyDescent="0.25">
      <c r="J294" s="400" t="s">
        <v>336</v>
      </c>
      <c r="K294" s="401" t="s">
        <v>853</v>
      </c>
      <c r="L294" s="402" t="s">
        <v>854</v>
      </c>
      <c r="M294" s="402">
        <v>3228352</v>
      </c>
      <c r="N294" s="402">
        <v>6819832</v>
      </c>
      <c r="O294" s="402">
        <v>0</v>
      </c>
      <c r="P294" s="402">
        <v>0</v>
      </c>
      <c r="Q294" s="402">
        <v>0</v>
      </c>
      <c r="R294" s="402">
        <v>0</v>
      </c>
      <c r="S294" s="402">
        <v>0</v>
      </c>
      <c r="T294" s="402">
        <v>0</v>
      </c>
      <c r="U294" s="402">
        <v>0</v>
      </c>
      <c r="V294" s="402">
        <v>0</v>
      </c>
      <c r="W294" s="402">
        <v>1614176</v>
      </c>
      <c r="X294" s="402">
        <v>0</v>
      </c>
      <c r="Y294" s="402">
        <v>0</v>
      </c>
      <c r="Z294" s="402">
        <v>1614176</v>
      </c>
      <c r="AA294" s="402">
        <v>3228352</v>
      </c>
    </row>
    <row r="295" spans="10:27" ht="15" customHeight="1" x14ac:dyDescent="0.25">
      <c r="J295" s="400" t="s">
        <v>336</v>
      </c>
      <c r="K295" s="401" t="s">
        <v>855</v>
      </c>
      <c r="L295" s="402" t="s">
        <v>856</v>
      </c>
      <c r="M295" s="402">
        <v>48301.666666500001</v>
      </c>
      <c r="N295" s="402">
        <v>94299.999999599997</v>
      </c>
      <c r="O295" s="402">
        <v>0</v>
      </c>
      <c r="P295" s="402">
        <v>0</v>
      </c>
      <c r="Q295" s="402">
        <v>0</v>
      </c>
      <c r="R295" s="402">
        <v>0</v>
      </c>
      <c r="S295" s="402">
        <v>0</v>
      </c>
      <c r="T295" s="402">
        <v>0</v>
      </c>
      <c r="U295" s="402">
        <v>0</v>
      </c>
      <c r="V295" s="402">
        <v>9660.3333332999991</v>
      </c>
      <c r="W295" s="402">
        <v>9660.3333332999991</v>
      </c>
      <c r="X295" s="402">
        <v>9660.3333332999991</v>
      </c>
      <c r="Y295" s="402">
        <v>9660.3333332999991</v>
      </c>
      <c r="Z295" s="402">
        <v>9660.3333332999991</v>
      </c>
      <c r="AA295" s="402">
        <v>48301.666666500001</v>
      </c>
    </row>
    <row r="296" spans="10:27" ht="15" customHeight="1" x14ac:dyDescent="0.25">
      <c r="J296" s="400" t="s">
        <v>336</v>
      </c>
      <c r="K296" s="401" t="s">
        <v>857</v>
      </c>
      <c r="L296" s="402" t="s">
        <v>858</v>
      </c>
      <c r="M296" s="402">
        <v>3300000</v>
      </c>
      <c r="N296" s="402">
        <v>7900000</v>
      </c>
      <c r="O296" s="402">
        <v>0</v>
      </c>
      <c r="P296" s="402">
        <v>0</v>
      </c>
      <c r="Q296" s="402">
        <v>0</v>
      </c>
      <c r="R296" s="402">
        <v>0</v>
      </c>
      <c r="S296" s="402">
        <v>0</v>
      </c>
      <c r="T296" s="402">
        <v>0</v>
      </c>
      <c r="U296" s="402">
        <v>0</v>
      </c>
      <c r="V296" s="402">
        <v>625000</v>
      </c>
      <c r="W296" s="402">
        <v>625000</v>
      </c>
      <c r="X296" s="402">
        <v>625000</v>
      </c>
      <c r="Y296" s="402">
        <v>800000</v>
      </c>
      <c r="Z296" s="402">
        <v>625000</v>
      </c>
      <c r="AA296" s="402">
        <v>3300000</v>
      </c>
    </row>
    <row r="297" spans="10:27" ht="15" customHeight="1" x14ac:dyDescent="0.25">
      <c r="J297" s="400" t="s">
        <v>336</v>
      </c>
      <c r="K297" s="401" t="s">
        <v>859</v>
      </c>
      <c r="L297" s="402" t="s">
        <v>860</v>
      </c>
      <c r="M297" s="402">
        <v>4229000</v>
      </c>
      <c r="N297" s="402">
        <v>9300000</v>
      </c>
      <c r="O297" s="402">
        <v>0</v>
      </c>
      <c r="P297" s="402">
        <v>0</v>
      </c>
      <c r="Q297" s="402">
        <v>0</v>
      </c>
      <c r="R297" s="402">
        <v>0</v>
      </c>
      <c r="S297" s="402">
        <v>0</v>
      </c>
      <c r="T297" s="402">
        <v>0</v>
      </c>
      <c r="U297" s="402">
        <v>0</v>
      </c>
      <c r="V297" s="402">
        <v>742000</v>
      </c>
      <c r="W297" s="402">
        <v>742000</v>
      </c>
      <c r="X297" s="402">
        <v>742000</v>
      </c>
      <c r="Y297" s="402">
        <v>1261000</v>
      </c>
      <c r="Z297" s="402">
        <v>742000</v>
      </c>
      <c r="AA297" s="402">
        <v>4229000</v>
      </c>
    </row>
    <row r="298" spans="10:27" ht="15" customHeight="1" x14ac:dyDescent="0.25">
      <c r="J298" s="400" t="s">
        <v>336</v>
      </c>
      <c r="K298" s="401" t="s">
        <v>861</v>
      </c>
      <c r="L298" s="402" t="s">
        <v>862</v>
      </c>
      <c r="M298" s="402">
        <v>107426.5</v>
      </c>
      <c r="N298" s="402">
        <v>240481</v>
      </c>
      <c r="O298" s="402">
        <v>0</v>
      </c>
      <c r="P298" s="402">
        <v>0</v>
      </c>
      <c r="Q298" s="402">
        <v>0</v>
      </c>
      <c r="R298" s="402">
        <v>0</v>
      </c>
      <c r="S298" s="402">
        <v>0</v>
      </c>
      <c r="T298" s="402">
        <v>0</v>
      </c>
      <c r="U298" s="402">
        <v>0</v>
      </c>
      <c r="V298" s="402">
        <v>0</v>
      </c>
      <c r="W298" s="402">
        <v>53713.25</v>
      </c>
      <c r="X298" s="402">
        <v>0</v>
      </c>
      <c r="Y298" s="402">
        <v>0</v>
      </c>
      <c r="Z298" s="402">
        <v>53713.25</v>
      </c>
      <c r="AA298" s="402">
        <v>107426.5</v>
      </c>
    </row>
    <row r="299" spans="10:27" ht="15" customHeight="1" x14ac:dyDescent="0.25">
      <c r="J299" s="400" t="s">
        <v>336</v>
      </c>
      <c r="K299" s="401" t="s">
        <v>863</v>
      </c>
      <c r="L299" s="402" t="s">
        <v>864</v>
      </c>
      <c r="M299" s="402">
        <v>825000</v>
      </c>
      <c r="N299" s="402">
        <v>1800000</v>
      </c>
      <c r="O299" s="402">
        <v>0</v>
      </c>
      <c r="P299" s="402">
        <v>0</v>
      </c>
      <c r="Q299" s="402">
        <v>0</v>
      </c>
      <c r="R299" s="402">
        <v>0</v>
      </c>
      <c r="S299" s="402">
        <v>0</v>
      </c>
      <c r="T299" s="402">
        <v>0</v>
      </c>
      <c r="U299" s="402">
        <v>0</v>
      </c>
      <c r="V299" s="402">
        <v>200000</v>
      </c>
      <c r="W299" s="402">
        <v>0</v>
      </c>
      <c r="X299" s="402">
        <v>225000</v>
      </c>
      <c r="Y299" s="402">
        <v>0</v>
      </c>
      <c r="Z299" s="402">
        <v>400000</v>
      </c>
      <c r="AA299" s="402">
        <v>825000</v>
      </c>
    </row>
    <row r="300" spans="10:27" ht="15" customHeight="1" x14ac:dyDescent="0.25">
      <c r="J300" s="400" t="s">
        <v>336</v>
      </c>
      <c r="K300" s="401" t="s">
        <v>865</v>
      </c>
      <c r="L300" s="402" t="s">
        <v>866</v>
      </c>
      <c r="M300" s="402">
        <v>475000</v>
      </c>
      <c r="N300" s="402">
        <v>1140000</v>
      </c>
      <c r="O300" s="402">
        <v>0</v>
      </c>
      <c r="P300" s="402">
        <v>0</v>
      </c>
      <c r="Q300" s="402">
        <v>0</v>
      </c>
      <c r="R300" s="402">
        <v>0</v>
      </c>
      <c r="S300" s="402">
        <v>0</v>
      </c>
      <c r="T300" s="402">
        <v>0</v>
      </c>
      <c r="U300" s="402">
        <v>0</v>
      </c>
      <c r="V300" s="402">
        <v>95000</v>
      </c>
      <c r="W300" s="402">
        <v>95000</v>
      </c>
      <c r="X300" s="402">
        <v>95000</v>
      </c>
      <c r="Y300" s="402">
        <v>95000</v>
      </c>
      <c r="Z300" s="402">
        <v>95000</v>
      </c>
      <c r="AA300" s="402">
        <v>475000</v>
      </c>
    </row>
    <row r="301" spans="10:27" ht="15" customHeight="1" x14ac:dyDescent="0.25">
      <c r="J301" s="400" t="s">
        <v>336</v>
      </c>
      <c r="K301" s="401" t="s">
        <v>867</v>
      </c>
      <c r="L301" s="402" t="s">
        <v>868</v>
      </c>
      <c r="M301" s="402">
        <v>500000</v>
      </c>
      <c r="N301" s="402">
        <v>1200000</v>
      </c>
      <c r="O301" s="402">
        <v>0</v>
      </c>
      <c r="P301" s="402">
        <v>0</v>
      </c>
      <c r="Q301" s="402">
        <v>0</v>
      </c>
      <c r="R301" s="402">
        <v>0</v>
      </c>
      <c r="S301" s="402">
        <v>0</v>
      </c>
      <c r="T301" s="402">
        <v>0</v>
      </c>
      <c r="U301" s="402">
        <v>0</v>
      </c>
      <c r="V301" s="402">
        <v>100000</v>
      </c>
      <c r="W301" s="402">
        <v>100000</v>
      </c>
      <c r="X301" s="402">
        <v>100000</v>
      </c>
      <c r="Y301" s="402">
        <v>100000</v>
      </c>
      <c r="Z301" s="402">
        <v>100000</v>
      </c>
      <c r="AA301" s="402">
        <v>500000</v>
      </c>
    </row>
    <row r="302" spans="10:27" ht="15" customHeight="1" x14ac:dyDescent="0.25">
      <c r="J302" s="400" t="s">
        <v>336</v>
      </c>
      <c r="K302" s="401" t="s">
        <v>869</v>
      </c>
      <c r="L302" s="402" t="s">
        <v>870</v>
      </c>
      <c r="M302" s="402">
        <v>136130.5</v>
      </c>
      <c r="N302" s="402">
        <v>1981522</v>
      </c>
      <c r="O302" s="402">
        <v>0</v>
      </c>
      <c r="P302" s="402">
        <v>0</v>
      </c>
      <c r="Q302" s="402">
        <v>0</v>
      </c>
      <c r="R302" s="402">
        <v>0</v>
      </c>
      <c r="S302" s="402">
        <v>0</v>
      </c>
      <c r="T302" s="402">
        <v>0</v>
      </c>
      <c r="U302" s="402">
        <v>0</v>
      </c>
      <c r="V302" s="402">
        <v>0</v>
      </c>
      <c r="W302" s="402">
        <v>68065.25</v>
      </c>
      <c r="X302" s="402">
        <v>0</v>
      </c>
      <c r="Y302" s="402">
        <v>0</v>
      </c>
      <c r="Z302" s="402">
        <v>68065.25</v>
      </c>
      <c r="AA302" s="402">
        <v>136130.5</v>
      </c>
    </row>
    <row r="303" spans="10:27" ht="15" customHeight="1" x14ac:dyDescent="0.25">
      <c r="J303" s="400" t="s">
        <v>336</v>
      </c>
      <c r="K303" s="401" t="s">
        <v>871</v>
      </c>
      <c r="L303" s="402" t="s">
        <v>872</v>
      </c>
      <c r="M303" s="402">
        <v>379320.24130430003</v>
      </c>
      <c r="N303" s="402">
        <v>452226.63130429998</v>
      </c>
      <c r="O303" s="402">
        <v>0</v>
      </c>
      <c r="P303" s="402">
        <v>0</v>
      </c>
      <c r="Q303" s="402">
        <v>0</v>
      </c>
      <c r="R303" s="402">
        <v>0</v>
      </c>
      <c r="S303" s="402">
        <v>0</v>
      </c>
      <c r="T303" s="402">
        <v>0</v>
      </c>
      <c r="U303" s="402">
        <v>0</v>
      </c>
      <c r="V303" s="402">
        <v>8043.77</v>
      </c>
      <c r="W303" s="402">
        <v>16343.77</v>
      </c>
      <c r="X303" s="402">
        <v>8043.77</v>
      </c>
      <c r="Y303" s="402">
        <v>8043.77</v>
      </c>
      <c r="Z303" s="402">
        <v>338845.16130430001</v>
      </c>
      <c r="AA303" s="402">
        <v>379320.24130430003</v>
      </c>
    </row>
    <row r="304" spans="10:27" ht="15" customHeight="1" x14ac:dyDescent="0.25">
      <c r="J304" s="400" t="s">
        <v>336</v>
      </c>
      <c r="K304" s="401" t="s">
        <v>873</v>
      </c>
      <c r="L304" s="402" t="s">
        <v>874</v>
      </c>
      <c r="M304" s="402">
        <v>11674767.439999999</v>
      </c>
      <c r="N304" s="402">
        <v>26094999.999999601</v>
      </c>
      <c r="O304" s="402">
        <v>0</v>
      </c>
      <c r="P304" s="402">
        <v>0</v>
      </c>
      <c r="Q304" s="402">
        <v>0</v>
      </c>
      <c r="R304" s="402">
        <v>0</v>
      </c>
      <c r="S304" s="402">
        <v>0</v>
      </c>
      <c r="T304" s="402">
        <v>0</v>
      </c>
      <c r="U304" s="402">
        <v>0</v>
      </c>
      <c r="V304" s="402">
        <v>2054953.48</v>
      </c>
      <c r="W304" s="402">
        <v>2054953.49</v>
      </c>
      <c r="X304" s="402">
        <v>2054953.49</v>
      </c>
      <c r="Y304" s="402">
        <v>2054953.49</v>
      </c>
      <c r="Z304" s="402">
        <v>3454953.49</v>
      </c>
      <c r="AA304" s="402">
        <v>11674767.439999999</v>
      </c>
    </row>
    <row r="305" spans="10:27" ht="15" customHeight="1" x14ac:dyDescent="0.25">
      <c r="J305" s="400" t="s">
        <v>336</v>
      </c>
      <c r="K305" s="401" t="s">
        <v>875</v>
      </c>
      <c r="L305" s="402" t="s">
        <v>876</v>
      </c>
      <c r="M305" s="402">
        <v>50000</v>
      </c>
      <c r="N305" s="402">
        <v>120000</v>
      </c>
      <c r="O305" s="402">
        <v>0</v>
      </c>
      <c r="P305" s="402">
        <v>0</v>
      </c>
      <c r="Q305" s="402">
        <v>0</v>
      </c>
      <c r="R305" s="402">
        <v>0</v>
      </c>
      <c r="S305" s="402">
        <v>0</v>
      </c>
      <c r="T305" s="402">
        <v>0</v>
      </c>
      <c r="U305" s="402">
        <v>0</v>
      </c>
      <c r="V305" s="402">
        <v>10000</v>
      </c>
      <c r="W305" s="402">
        <v>10000</v>
      </c>
      <c r="X305" s="402">
        <v>10000</v>
      </c>
      <c r="Y305" s="402">
        <v>10000</v>
      </c>
      <c r="Z305" s="402">
        <v>10000</v>
      </c>
      <c r="AA305" s="402">
        <v>50000</v>
      </c>
    </row>
    <row r="306" spans="10:27" ht="15" customHeight="1" x14ac:dyDescent="0.25">
      <c r="J306" s="400" t="s">
        <v>336</v>
      </c>
      <c r="K306" s="401" t="s">
        <v>877</v>
      </c>
      <c r="L306" s="402" t="s">
        <v>878</v>
      </c>
      <c r="M306" s="402">
        <v>-182884.0949545</v>
      </c>
      <c r="N306" s="402">
        <v>-3113534.6072519999</v>
      </c>
      <c r="O306" s="402">
        <v>0</v>
      </c>
      <c r="P306" s="402">
        <v>0</v>
      </c>
      <c r="Q306" s="402">
        <v>0</v>
      </c>
      <c r="R306" s="402">
        <v>0</v>
      </c>
      <c r="S306" s="402">
        <v>0</v>
      </c>
      <c r="T306" s="402">
        <v>0</v>
      </c>
      <c r="U306" s="402">
        <v>0</v>
      </c>
      <c r="V306" s="402">
        <v>-36576.818990899999</v>
      </c>
      <c r="W306" s="402">
        <v>-36576.818990899999</v>
      </c>
      <c r="X306" s="402">
        <v>-36576.818990899999</v>
      </c>
      <c r="Y306" s="402">
        <v>-36576.818990899999</v>
      </c>
      <c r="Z306" s="402">
        <v>-36576.818990899999</v>
      </c>
      <c r="AA306" s="402">
        <v>-182884.0949545</v>
      </c>
    </row>
    <row r="307" spans="10:27" ht="15" customHeight="1" x14ac:dyDescent="0.2">
      <c r="J307" s="392" t="s">
        <v>336</v>
      </c>
      <c r="K307" s="399" t="s">
        <v>879</v>
      </c>
      <c r="L307" s="392" t="s">
        <v>880</v>
      </c>
      <c r="M307" s="393">
        <v>5989606.7525255997</v>
      </c>
      <c r="N307" s="393">
        <v>4759286.9833359998</v>
      </c>
      <c r="O307" s="393">
        <v>400533.24</v>
      </c>
      <c r="P307" s="393">
        <v>527404.47</v>
      </c>
      <c r="Q307" s="393">
        <v>573277</v>
      </c>
      <c r="R307" s="393">
        <v>513354.27</v>
      </c>
      <c r="S307" s="393">
        <v>548840.24</v>
      </c>
      <c r="T307" s="393">
        <v>480236.43</v>
      </c>
      <c r="U307" s="393">
        <v>513316.62</v>
      </c>
      <c r="V307" s="393">
        <v>398116.45322560001</v>
      </c>
      <c r="W307" s="393">
        <v>470010.9917442</v>
      </c>
      <c r="X307" s="393">
        <v>470298.39767009998</v>
      </c>
      <c r="Y307" s="393">
        <v>489911.26767009997</v>
      </c>
      <c r="Z307" s="393">
        <v>604307.37221559999</v>
      </c>
      <c r="AA307" s="393">
        <v>5989606.7525255997</v>
      </c>
    </row>
    <row r="308" spans="10:27" ht="15" customHeight="1" x14ac:dyDescent="0.25">
      <c r="J308" s="400" t="s">
        <v>336</v>
      </c>
      <c r="K308" s="401" t="s">
        <v>881</v>
      </c>
      <c r="L308" s="402" t="s">
        <v>882</v>
      </c>
      <c r="M308" s="402">
        <v>908820.49</v>
      </c>
      <c r="N308" s="402">
        <v>145362.41</v>
      </c>
      <c r="O308" s="402">
        <v>180585.98</v>
      </c>
      <c r="P308" s="402">
        <v>465192.92</v>
      </c>
      <c r="Q308" s="402">
        <v>112469.25</v>
      </c>
      <c r="R308" s="402">
        <v>50043.47</v>
      </c>
      <c r="S308" s="402">
        <v>109801.36</v>
      </c>
      <c r="T308" s="402">
        <v>-27226.19</v>
      </c>
      <c r="U308" s="402">
        <v>17953.7</v>
      </c>
      <c r="V308" s="402">
        <v>0</v>
      </c>
      <c r="W308" s="402">
        <v>0</v>
      </c>
      <c r="X308" s="402">
        <v>0</v>
      </c>
      <c r="Y308" s="402">
        <v>0</v>
      </c>
      <c r="Z308" s="402">
        <v>0</v>
      </c>
      <c r="AA308" s="402">
        <v>908820.49</v>
      </c>
    </row>
    <row r="309" spans="10:27" ht="15" customHeight="1" x14ac:dyDescent="0.25">
      <c r="J309" s="400" t="s">
        <v>336</v>
      </c>
      <c r="K309" s="401" t="s">
        <v>883</v>
      </c>
      <c r="L309" s="402" t="s">
        <v>884</v>
      </c>
      <c r="M309" s="402">
        <v>22772.95</v>
      </c>
      <c r="N309" s="402">
        <v>6000</v>
      </c>
      <c r="O309" s="402">
        <v>0</v>
      </c>
      <c r="P309" s="402">
        <v>1669.34</v>
      </c>
      <c r="Q309" s="402">
        <v>1731.79</v>
      </c>
      <c r="R309" s="402">
        <v>9395.1</v>
      </c>
      <c r="S309" s="402">
        <v>2582.7600000000002</v>
      </c>
      <c r="T309" s="402">
        <v>6620.63</v>
      </c>
      <c r="U309" s="402">
        <v>773.33</v>
      </c>
      <c r="V309" s="402">
        <v>0</v>
      </c>
      <c r="W309" s="402">
        <v>0</v>
      </c>
      <c r="X309" s="402">
        <v>0</v>
      </c>
      <c r="Y309" s="402">
        <v>0</v>
      </c>
      <c r="Z309" s="402">
        <v>0</v>
      </c>
      <c r="AA309" s="402">
        <v>22772.95</v>
      </c>
    </row>
    <row r="310" spans="10:27" ht="15" customHeight="1" x14ac:dyDescent="0.25">
      <c r="J310" s="400" t="s">
        <v>336</v>
      </c>
      <c r="K310" s="401" t="s">
        <v>885</v>
      </c>
      <c r="L310" s="402" t="s">
        <v>886</v>
      </c>
      <c r="M310" s="402">
        <v>0</v>
      </c>
      <c r="N310" s="402">
        <v>5967.64</v>
      </c>
      <c r="O310" s="402">
        <v>0</v>
      </c>
      <c r="P310" s="402">
        <v>0</v>
      </c>
      <c r="Q310" s="402">
        <v>0</v>
      </c>
      <c r="R310" s="402">
        <v>0</v>
      </c>
      <c r="S310" s="402">
        <v>0</v>
      </c>
      <c r="T310" s="402">
        <v>0</v>
      </c>
      <c r="U310" s="402">
        <v>0</v>
      </c>
      <c r="V310" s="402">
        <v>0</v>
      </c>
      <c r="W310" s="402">
        <v>0</v>
      </c>
      <c r="X310" s="402">
        <v>0</v>
      </c>
      <c r="Y310" s="402">
        <v>0</v>
      </c>
      <c r="Z310" s="402">
        <v>0</v>
      </c>
      <c r="AA310" s="402">
        <v>0</v>
      </c>
    </row>
    <row r="311" spans="10:27" ht="15" customHeight="1" x14ac:dyDescent="0.25">
      <c r="J311" s="400" t="s">
        <v>336</v>
      </c>
      <c r="K311" s="401" t="s">
        <v>887</v>
      </c>
      <c r="L311" s="402" t="s">
        <v>888</v>
      </c>
      <c r="M311" s="402">
        <v>1033827.46</v>
      </c>
      <c r="N311" s="402">
        <v>207452.40601879999</v>
      </c>
      <c r="O311" s="402">
        <v>108288.21</v>
      </c>
      <c r="P311" s="402">
        <v>136931.32</v>
      </c>
      <c r="Q311" s="402">
        <v>148140.88</v>
      </c>
      <c r="R311" s="402">
        <v>176480.89</v>
      </c>
      <c r="S311" s="402">
        <v>158226.15</v>
      </c>
      <c r="T311" s="402">
        <v>158905.89000000001</v>
      </c>
      <c r="U311" s="402">
        <v>146854.12</v>
      </c>
      <c r="V311" s="402">
        <v>0</v>
      </c>
      <c r="W311" s="402">
        <v>0</v>
      </c>
      <c r="X311" s="402">
        <v>0</v>
      </c>
      <c r="Y311" s="402">
        <v>0</v>
      </c>
      <c r="Z311" s="402">
        <v>0</v>
      </c>
      <c r="AA311" s="402">
        <v>1033827.46</v>
      </c>
    </row>
    <row r="312" spans="10:27" ht="15" customHeight="1" x14ac:dyDescent="0.25">
      <c r="J312" s="400" t="s">
        <v>336</v>
      </c>
      <c r="K312" s="401" t="s">
        <v>889</v>
      </c>
      <c r="L312" s="402" t="s">
        <v>890</v>
      </c>
      <c r="M312" s="402">
        <v>189719.5</v>
      </c>
      <c r="N312" s="402">
        <v>94514.347377600003</v>
      </c>
      <c r="O312" s="402">
        <v>14593.75</v>
      </c>
      <c r="P312" s="402">
        <v>24212.66</v>
      </c>
      <c r="Q312" s="402">
        <v>28658.01</v>
      </c>
      <c r="R312" s="402">
        <v>31718.51</v>
      </c>
      <c r="S312" s="402">
        <v>31213.68</v>
      </c>
      <c r="T312" s="402">
        <v>26454.560000000001</v>
      </c>
      <c r="U312" s="402">
        <v>32868.33</v>
      </c>
      <c r="V312" s="402">
        <v>0</v>
      </c>
      <c r="W312" s="402">
        <v>0</v>
      </c>
      <c r="X312" s="402">
        <v>0</v>
      </c>
      <c r="Y312" s="402">
        <v>0</v>
      </c>
      <c r="Z312" s="402">
        <v>0</v>
      </c>
      <c r="AA312" s="402">
        <v>189719.5</v>
      </c>
    </row>
    <row r="313" spans="10:27" ht="15" customHeight="1" x14ac:dyDescent="0.25">
      <c r="J313" s="400" t="s">
        <v>336</v>
      </c>
      <c r="K313" s="401" t="s">
        <v>891</v>
      </c>
      <c r="L313" s="402" t="s">
        <v>892</v>
      </c>
      <c r="M313" s="402">
        <v>193557.74</v>
      </c>
      <c r="N313" s="402">
        <v>9940.7290512</v>
      </c>
      <c r="O313" s="402">
        <v>12794.49</v>
      </c>
      <c r="P313" s="402">
        <v>10629.96</v>
      </c>
      <c r="Q313" s="402">
        <v>60294.720000000001</v>
      </c>
      <c r="R313" s="402">
        <v>24759.88</v>
      </c>
      <c r="S313" s="402">
        <v>26310.28</v>
      </c>
      <c r="T313" s="402">
        <v>34469.68</v>
      </c>
      <c r="U313" s="402">
        <v>24298.73</v>
      </c>
      <c r="V313" s="402">
        <v>0</v>
      </c>
      <c r="W313" s="402">
        <v>0</v>
      </c>
      <c r="X313" s="402">
        <v>0</v>
      </c>
      <c r="Y313" s="402">
        <v>0</v>
      </c>
      <c r="Z313" s="402">
        <v>0</v>
      </c>
      <c r="AA313" s="402">
        <v>193557.74</v>
      </c>
    </row>
    <row r="314" spans="10:27" ht="15" customHeight="1" x14ac:dyDescent="0.25">
      <c r="J314" s="400" t="s">
        <v>336</v>
      </c>
      <c r="K314" s="401" t="s">
        <v>893</v>
      </c>
      <c r="L314" s="402" t="s">
        <v>894</v>
      </c>
      <c r="M314" s="402">
        <v>526018.65</v>
      </c>
      <c r="N314" s="402">
        <v>489013.16417519999</v>
      </c>
      <c r="O314" s="402">
        <v>74952.63</v>
      </c>
      <c r="P314" s="402">
        <v>54474.879999999997</v>
      </c>
      <c r="Q314" s="402">
        <v>52994</v>
      </c>
      <c r="R314" s="402">
        <v>114384.05</v>
      </c>
      <c r="S314" s="402">
        <v>67318.39</v>
      </c>
      <c r="T314" s="402">
        <v>95974.37</v>
      </c>
      <c r="U314" s="402">
        <v>65920.33</v>
      </c>
      <c r="V314" s="402">
        <v>0</v>
      </c>
      <c r="W314" s="402">
        <v>0</v>
      </c>
      <c r="X314" s="402">
        <v>0</v>
      </c>
      <c r="Y314" s="402">
        <v>0</v>
      </c>
      <c r="Z314" s="402">
        <v>0</v>
      </c>
      <c r="AA314" s="402">
        <v>526018.65</v>
      </c>
    </row>
    <row r="315" spans="10:27" ht="15" customHeight="1" x14ac:dyDescent="0.25">
      <c r="J315" s="400" t="s">
        <v>336</v>
      </c>
      <c r="K315" s="401" t="s">
        <v>895</v>
      </c>
      <c r="L315" s="402" t="s">
        <v>896</v>
      </c>
      <c r="M315" s="402">
        <v>885242.86</v>
      </c>
      <c r="N315" s="402">
        <v>325612.36206960003</v>
      </c>
      <c r="O315" s="402">
        <v>44763.9</v>
      </c>
      <c r="P315" s="402">
        <v>132653.12</v>
      </c>
      <c r="Q315" s="402">
        <v>123649.01</v>
      </c>
      <c r="R315" s="402">
        <v>99724.28</v>
      </c>
      <c r="S315" s="402">
        <v>138734.81</v>
      </c>
      <c r="T315" s="402">
        <v>182497.62</v>
      </c>
      <c r="U315" s="402">
        <v>163220.12</v>
      </c>
      <c r="V315" s="402">
        <v>0</v>
      </c>
      <c r="W315" s="402">
        <v>0</v>
      </c>
      <c r="X315" s="402">
        <v>0</v>
      </c>
      <c r="Y315" s="402">
        <v>0</v>
      </c>
      <c r="Z315" s="402">
        <v>0</v>
      </c>
      <c r="AA315" s="402">
        <v>885242.86</v>
      </c>
    </row>
    <row r="316" spans="10:27" ht="15" customHeight="1" x14ac:dyDescent="0.25">
      <c r="J316" s="400" t="s">
        <v>336</v>
      </c>
      <c r="K316" s="401" t="s">
        <v>897</v>
      </c>
      <c r="L316" s="402" t="s">
        <v>898</v>
      </c>
      <c r="M316" s="402">
        <v>610473.36</v>
      </c>
      <c r="N316" s="402">
        <v>810239.0613076</v>
      </c>
      <c r="O316" s="402">
        <v>82022.66</v>
      </c>
      <c r="P316" s="402">
        <v>126812.42</v>
      </c>
      <c r="Q316" s="402">
        <v>67485.22</v>
      </c>
      <c r="R316" s="402">
        <v>44538.79</v>
      </c>
      <c r="S316" s="402">
        <v>81410.289999999994</v>
      </c>
      <c r="T316" s="402">
        <v>70814</v>
      </c>
      <c r="U316" s="402">
        <v>129639.98</v>
      </c>
      <c r="V316" s="402">
        <v>1500</v>
      </c>
      <c r="W316" s="402">
        <v>1575</v>
      </c>
      <c r="X316" s="402">
        <v>1500</v>
      </c>
      <c r="Y316" s="402">
        <v>1675</v>
      </c>
      <c r="Z316" s="402">
        <v>1500</v>
      </c>
      <c r="AA316" s="402">
        <v>610473.36</v>
      </c>
    </row>
    <row r="317" spans="10:27" ht="15" customHeight="1" x14ac:dyDescent="0.25">
      <c r="J317" s="400" t="s">
        <v>336</v>
      </c>
      <c r="K317" s="401" t="s">
        <v>899</v>
      </c>
      <c r="L317" s="402" t="s">
        <v>900</v>
      </c>
      <c r="M317" s="402">
        <v>-877415.16</v>
      </c>
      <c r="N317" s="402">
        <v>5040</v>
      </c>
      <c r="O317" s="402">
        <v>-136324.26</v>
      </c>
      <c r="P317" s="402">
        <v>-432540.2</v>
      </c>
      <c r="Q317" s="402">
        <v>-27236.37</v>
      </c>
      <c r="R317" s="402">
        <v>-48631.25</v>
      </c>
      <c r="S317" s="402">
        <v>-82961.67</v>
      </c>
      <c r="T317" s="402">
        <v>-75637.11</v>
      </c>
      <c r="U317" s="402">
        <v>-74084.3</v>
      </c>
      <c r="V317" s="402">
        <v>0</v>
      </c>
      <c r="W317" s="402">
        <v>0</v>
      </c>
      <c r="X317" s="402">
        <v>0</v>
      </c>
      <c r="Y317" s="402">
        <v>0</v>
      </c>
      <c r="Z317" s="402">
        <v>0</v>
      </c>
      <c r="AA317" s="402">
        <v>-877415.16</v>
      </c>
    </row>
    <row r="318" spans="10:27" ht="15" customHeight="1" x14ac:dyDescent="0.25">
      <c r="J318" s="400" t="s">
        <v>336</v>
      </c>
      <c r="K318" s="401" t="s">
        <v>901</v>
      </c>
      <c r="L318" s="402" t="s">
        <v>902</v>
      </c>
      <c r="M318" s="402">
        <v>204.4</v>
      </c>
      <c r="N318" s="402">
        <v>13744.4</v>
      </c>
      <c r="O318" s="402">
        <v>0</v>
      </c>
      <c r="P318" s="402">
        <v>0</v>
      </c>
      <c r="Q318" s="402">
        <v>0</v>
      </c>
      <c r="R318" s="402">
        <v>0</v>
      </c>
      <c r="S318" s="402">
        <v>0</v>
      </c>
      <c r="T318" s="402">
        <v>0</v>
      </c>
      <c r="U318" s="402">
        <v>0</v>
      </c>
      <c r="V318" s="402">
        <v>0</v>
      </c>
      <c r="W318" s="402">
        <v>0</v>
      </c>
      <c r="X318" s="402">
        <v>0</v>
      </c>
      <c r="Y318" s="402">
        <v>0</v>
      </c>
      <c r="Z318" s="402">
        <v>204.4</v>
      </c>
      <c r="AA318" s="402">
        <v>204.4</v>
      </c>
    </row>
    <row r="319" spans="10:27" ht="15" customHeight="1" x14ac:dyDescent="0.25">
      <c r="J319" s="400" t="s">
        <v>336</v>
      </c>
      <c r="K319" s="401" t="s">
        <v>903</v>
      </c>
      <c r="L319" s="402" t="s">
        <v>904</v>
      </c>
      <c r="M319" s="402">
        <v>72571.070000000007</v>
      </c>
      <c r="N319" s="402">
        <v>0</v>
      </c>
      <c r="O319" s="402">
        <v>18855.88</v>
      </c>
      <c r="P319" s="402">
        <v>7368.05</v>
      </c>
      <c r="Q319" s="402">
        <v>5090.49</v>
      </c>
      <c r="R319" s="402">
        <v>10940.55</v>
      </c>
      <c r="S319" s="402">
        <v>16204.19</v>
      </c>
      <c r="T319" s="402">
        <v>7362.98</v>
      </c>
      <c r="U319" s="402">
        <v>5872.28</v>
      </c>
      <c r="V319" s="402">
        <v>175.33</v>
      </c>
      <c r="W319" s="402">
        <v>175.33</v>
      </c>
      <c r="X319" s="402">
        <v>175.33</v>
      </c>
      <c r="Y319" s="402">
        <v>175.33</v>
      </c>
      <c r="Z319" s="402">
        <v>175.33</v>
      </c>
      <c r="AA319" s="402">
        <v>72571.070000000007</v>
      </c>
    </row>
    <row r="320" spans="10:27" ht="15" customHeight="1" x14ac:dyDescent="0.25">
      <c r="J320" s="400" t="s">
        <v>336</v>
      </c>
      <c r="K320" s="401" t="s">
        <v>905</v>
      </c>
      <c r="L320" s="402" t="s">
        <v>906</v>
      </c>
      <c r="M320" s="402">
        <v>165247.058517</v>
      </c>
      <c r="N320" s="402">
        <v>164997.70000000001</v>
      </c>
      <c r="O320" s="402">
        <v>0</v>
      </c>
      <c r="P320" s="402">
        <v>0</v>
      </c>
      <c r="Q320" s="402">
        <v>0</v>
      </c>
      <c r="R320" s="402">
        <v>0</v>
      </c>
      <c r="S320" s="402">
        <v>0</v>
      </c>
      <c r="T320" s="402">
        <v>0</v>
      </c>
      <c r="U320" s="402">
        <v>0</v>
      </c>
      <c r="V320" s="402">
        <v>23124.507703399999</v>
      </c>
      <c r="W320" s="402">
        <v>37571.967703399998</v>
      </c>
      <c r="X320" s="402">
        <v>29707.507703399999</v>
      </c>
      <c r="Y320" s="402">
        <v>37098.517703400001</v>
      </c>
      <c r="Z320" s="402">
        <v>37744.557703400002</v>
      </c>
      <c r="AA320" s="402">
        <v>165247.058517</v>
      </c>
    </row>
    <row r="321" spans="10:27" ht="15" customHeight="1" x14ac:dyDescent="0.25">
      <c r="J321" s="400" t="s">
        <v>336</v>
      </c>
      <c r="K321" s="401" t="s">
        <v>907</v>
      </c>
      <c r="L321" s="402" t="s">
        <v>908</v>
      </c>
      <c r="M321" s="402">
        <v>10000</v>
      </c>
      <c r="N321" s="402">
        <v>10987</v>
      </c>
      <c r="O321" s="402">
        <v>0</v>
      </c>
      <c r="P321" s="402">
        <v>0</v>
      </c>
      <c r="Q321" s="402">
        <v>0</v>
      </c>
      <c r="R321" s="402">
        <v>0</v>
      </c>
      <c r="S321" s="402">
        <v>0</v>
      </c>
      <c r="T321" s="402">
        <v>0</v>
      </c>
      <c r="U321" s="402">
        <v>0</v>
      </c>
      <c r="V321" s="402">
        <v>2000</v>
      </c>
      <c r="W321" s="402">
        <v>2000</v>
      </c>
      <c r="X321" s="402">
        <v>2000</v>
      </c>
      <c r="Y321" s="402">
        <v>2000</v>
      </c>
      <c r="Z321" s="402">
        <v>2000</v>
      </c>
      <c r="AA321" s="402">
        <v>10000</v>
      </c>
    </row>
    <row r="322" spans="10:27" ht="15" customHeight="1" x14ac:dyDescent="0.25">
      <c r="J322" s="400" t="s">
        <v>336</v>
      </c>
      <c r="K322" s="401" t="s">
        <v>909</v>
      </c>
      <c r="L322" s="402" t="s">
        <v>910</v>
      </c>
      <c r="M322" s="402">
        <v>1850.95</v>
      </c>
      <c r="N322" s="402">
        <v>6000</v>
      </c>
      <c r="O322" s="402">
        <v>0</v>
      </c>
      <c r="P322" s="402">
        <v>0</v>
      </c>
      <c r="Q322" s="402">
        <v>0</v>
      </c>
      <c r="R322" s="402">
        <v>0</v>
      </c>
      <c r="S322" s="402">
        <v>0</v>
      </c>
      <c r="T322" s="402">
        <v>0</v>
      </c>
      <c r="U322" s="402">
        <v>0</v>
      </c>
      <c r="V322" s="402">
        <v>166.67</v>
      </c>
      <c r="W322" s="402">
        <v>166.67</v>
      </c>
      <c r="X322" s="402">
        <v>166.67</v>
      </c>
      <c r="Y322" s="402">
        <v>366.67</v>
      </c>
      <c r="Z322" s="402">
        <v>984.27</v>
      </c>
      <c r="AA322" s="402">
        <v>1850.95</v>
      </c>
    </row>
    <row r="323" spans="10:27" ht="15" customHeight="1" x14ac:dyDescent="0.25">
      <c r="J323" s="400" t="s">
        <v>336</v>
      </c>
      <c r="K323" s="401" t="s">
        <v>911</v>
      </c>
      <c r="L323" s="402" t="s">
        <v>912</v>
      </c>
      <c r="M323" s="402">
        <v>556328.64809100004</v>
      </c>
      <c r="N323" s="402">
        <v>415619</v>
      </c>
      <c r="O323" s="402">
        <v>0</v>
      </c>
      <c r="P323" s="402">
        <v>0</v>
      </c>
      <c r="Q323" s="402">
        <v>0</v>
      </c>
      <c r="R323" s="402">
        <v>0</v>
      </c>
      <c r="S323" s="402">
        <v>0</v>
      </c>
      <c r="T323" s="402">
        <v>0</v>
      </c>
      <c r="U323" s="402">
        <v>0</v>
      </c>
      <c r="V323" s="402">
        <v>104973.8056182</v>
      </c>
      <c r="W323" s="402">
        <v>104809.90561820001</v>
      </c>
      <c r="X323" s="402">
        <v>99314.815618199995</v>
      </c>
      <c r="Y323" s="402">
        <v>116770.70561819999</v>
      </c>
      <c r="Z323" s="402">
        <v>130459.4156182</v>
      </c>
      <c r="AA323" s="402">
        <v>556328.64809100004</v>
      </c>
    </row>
    <row r="324" spans="10:27" ht="15" customHeight="1" x14ac:dyDescent="0.25">
      <c r="J324" s="400" t="s">
        <v>336</v>
      </c>
      <c r="K324" s="401" t="s">
        <v>913</v>
      </c>
      <c r="L324" s="402" t="s">
        <v>914</v>
      </c>
      <c r="M324" s="402">
        <v>58153.8798905</v>
      </c>
      <c r="N324" s="402">
        <v>73940</v>
      </c>
      <c r="O324" s="402">
        <v>0</v>
      </c>
      <c r="P324" s="402">
        <v>0</v>
      </c>
      <c r="Q324" s="402">
        <v>0</v>
      </c>
      <c r="R324" s="402">
        <v>0</v>
      </c>
      <c r="S324" s="402">
        <v>0</v>
      </c>
      <c r="T324" s="402">
        <v>0</v>
      </c>
      <c r="U324" s="402">
        <v>0</v>
      </c>
      <c r="V324" s="402">
        <v>10540.8519781</v>
      </c>
      <c r="W324" s="402">
        <v>12892.231978100001</v>
      </c>
      <c r="X324" s="402">
        <v>10280.5319781</v>
      </c>
      <c r="Y324" s="402">
        <v>10529.431978099999</v>
      </c>
      <c r="Z324" s="402">
        <v>13910.831978099999</v>
      </c>
      <c r="AA324" s="402">
        <v>58153.8798905</v>
      </c>
    </row>
    <row r="325" spans="10:27" ht="15" customHeight="1" x14ac:dyDescent="0.25">
      <c r="J325" s="400" t="s">
        <v>336</v>
      </c>
      <c r="K325" s="401" t="s">
        <v>915</v>
      </c>
      <c r="L325" s="402" t="s">
        <v>916</v>
      </c>
      <c r="M325" s="402">
        <v>28827.65</v>
      </c>
      <c r="N325" s="402">
        <v>20400</v>
      </c>
      <c r="O325" s="402">
        <v>0</v>
      </c>
      <c r="P325" s="402">
        <v>0</v>
      </c>
      <c r="Q325" s="402">
        <v>0</v>
      </c>
      <c r="R325" s="402">
        <v>0</v>
      </c>
      <c r="S325" s="402">
        <v>0</v>
      </c>
      <c r="T325" s="402">
        <v>0</v>
      </c>
      <c r="U325" s="402">
        <v>0</v>
      </c>
      <c r="V325" s="402">
        <v>5465.53</v>
      </c>
      <c r="W325" s="402">
        <v>5465.53</v>
      </c>
      <c r="X325" s="402">
        <v>6465.53</v>
      </c>
      <c r="Y325" s="402">
        <v>5465.53</v>
      </c>
      <c r="Z325" s="402">
        <v>5965.53</v>
      </c>
      <c r="AA325" s="402">
        <v>28827.65</v>
      </c>
    </row>
    <row r="326" spans="10:27" ht="15" customHeight="1" x14ac:dyDescent="0.25">
      <c r="J326" s="400" t="s">
        <v>336</v>
      </c>
      <c r="K326" s="401" t="s">
        <v>917</v>
      </c>
      <c r="L326" s="402" t="s">
        <v>918</v>
      </c>
      <c r="M326" s="402">
        <v>286932.4886175</v>
      </c>
      <c r="N326" s="402">
        <v>453904.55333359999</v>
      </c>
      <c r="O326" s="402">
        <v>0</v>
      </c>
      <c r="P326" s="402">
        <v>0</v>
      </c>
      <c r="Q326" s="402">
        <v>0</v>
      </c>
      <c r="R326" s="402">
        <v>0</v>
      </c>
      <c r="S326" s="402">
        <v>0</v>
      </c>
      <c r="T326" s="402">
        <v>0</v>
      </c>
      <c r="U326" s="402">
        <v>0</v>
      </c>
      <c r="V326" s="402">
        <v>59450.373723500001</v>
      </c>
      <c r="W326" s="402">
        <v>64990.273723500002</v>
      </c>
      <c r="X326" s="402">
        <v>56834.783723499997</v>
      </c>
      <c r="Y326" s="402">
        <v>49025.773723500002</v>
      </c>
      <c r="Z326" s="402">
        <v>56631.283723499997</v>
      </c>
      <c r="AA326" s="402">
        <v>286932.4886175</v>
      </c>
    </row>
    <row r="327" spans="10:27" ht="15" customHeight="1" x14ac:dyDescent="0.25">
      <c r="J327" s="400" t="s">
        <v>336</v>
      </c>
      <c r="K327" s="401" t="s">
        <v>919</v>
      </c>
      <c r="L327" s="402" t="s">
        <v>920</v>
      </c>
      <c r="M327" s="402">
        <v>377168.43864150002</v>
      </c>
      <c r="N327" s="402">
        <v>239686.72666680001</v>
      </c>
      <c r="O327" s="402">
        <v>0</v>
      </c>
      <c r="P327" s="402">
        <v>0</v>
      </c>
      <c r="Q327" s="402">
        <v>0</v>
      </c>
      <c r="R327" s="402">
        <v>0</v>
      </c>
      <c r="S327" s="402">
        <v>0</v>
      </c>
      <c r="T327" s="402">
        <v>0</v>
      </c>
      <c r="U327" s="402">
        <v>0</v>
      </c>
      <c r="V327" s="402">
        <v>62045.183728299999</v>
      </c>
      <c r="W327" s="402">
        <v>78451.093728299995</v>
      </c>
      <c r="X327" s="402">
        <v>75019.783728299997</v>
      </c>
      <c r="Y327" s="402">
        <v>78499.993728300004</v>
      </c>
      <c r="Z327" s="402">
        <v>83152.383728300003</v>
      </c>
      <c r="AA327" s="402">
        <v>377168.43864150002</v>
      </c>
    </row>
    <row r="328" spans="10:27" ht="15" customHeight="1" x14ac:dyDescent="0.25">
      <c r="J328" s="400" t="s">
        <v>336</v>
      </c>
      <c r="K328" s="401" t="s">
        <v>921</v>
      </c>
      <c r="L328" s="402" t="s">
        <v>922</v>
      </c>
      <c r="M328" s="402">
        <v>899377.24425910006</v>
      </c>
      <c r="N328" s="402">
        <v>1318080.8166699</v>
      </c>
      <c r="O328" s="402">
        <v>0</v>
      </c>
      <c r="P328" s="402">
        <v>0</v>
      </c>
      <c r="Q328" s="402">
        <v>0</v>
      </c>
      <c r="R328" s="402">
        <v>0</v>
      </c>
      <c r="S328" s="402">
        <v>0</v>
      </c>
      <c r="T328" s="402">
        <v>0</v>
      </c>
      <c r="U328" s="402">
        <v>0</v>
      </c>
      <c r="V328" s="402">
        <v>123301.9864814</v>
      </c>
      <c r="W328" s="402">
        <v>155300.77499999999</v>
      </c>
      <c r="X328" s="402">
        <v>181461.23092589999</v>
      </c>
      <c r="Y328" s="402">
        <v>176873.5509259</v>
      </c>
      <c r="Z328" s="402">
        <v>262439.70092590002</v>
      </c>
      <c r="AA328" s="402">
        <v>899377.24425910006</v>
      </c>
    </row>
    <row r="329" spans="10:27" ht="15" customHeight="1" x14ac:dyDescent="0.25">
      <c r="J329" s="400" t="s">
        <v>336</v>
      </c>
      <c r="K329" s="401" t="s">
        <v>923</v>
      </c>
      <c r="L329" s="402" t="s">
        <v>924</v>
      </c>
      <c r="M329" s="402">
        <v>208.35</v>
      </c>
      <c r="N329" s="402">
        <v>-109999.9999998</v>
      </c>
      <c r="O329" s="402">
        <v>0</v>
      </c>
      <c r="P329" s="402">
        <v>0</v>
      </c>
      <c r="Q329" s="402">
        <v>0</v>
      </c>
      <c r="R329" s="402">
        <v>0</v>
      </c>
      <c r="S329" s="402">
        <v>0</v>
      </c>
      <c r="T329" s="402">
        <v>0</v>
      </c>
      <c r="U329" s="402">
        <v>0</v>
      </c>
      <c r="V329" s="402">
        <v>41.67</v>
      </c>
      <c r="W329" s="402">
        <v>41.67</v>
      </c>
      <c r="X329" s="402">
        <v>41.67</v>
      </c>
      <c r="Y329" s="402">
        <v>41.67</v>
      </c>
      <c r="Z329" s="402">
        <v>41.67</v>
      </c>
      <c r="AA329" s="402">
        <v>208.35</v>
      </c>
    </row>
    <row r="330" spans="10:27" ht="15" customHeight="1" x14ac:dyDescent="0.25">
      <c r="J330" s="400" t="s">
        <v>336</v>
      </c>
      <c r="K330" s="401" t="s">
        <v>925</v>
      </c>
      <c r="L330" s="402" t="s">
        <v>926</v>
      </c>
      <c r="M330" s="402">
        <v>5975</v>
      </c>
      <c r="N330" s="402">
        <v>0</v>
      </c>
      <c r="O330" s="402">
        <v>0</v>
      </c>
      <c r="P330" s="402">
        <v>0</v>
      </c>
      <c r="Q330" s="402">
        <v>0</v>
      </c>
      <c r="R330" s="402">
        <v>0</v>
      </c>
      <c r="S330" s="402">
        <v>0</v>
      </c>
      <c r="T330" s="402">
        <v>0</v>
      </c>
      <c r="U330" s="402">
        <v>0</v>
      </c>
      <c r="V330" s="402">
        <v>795</v>
      </c>
      <c r="W330" s="402">
        <v>1795</v>
      </c>
      <c r="X330" s="402">
        <v>795</v>
      </c>
      <c r="Y330" s="402">
        <v>795</v>
      </c>
      <c r="Z330" s="402">
        <v>1795</v>
      </c>
      <c r="AA330" s="402">
        <v>5975</v>
      </c>
    </row>
    <row r="331" spans="10:27" ht="15" customHeight="1" x14ac:dyDescent="0.25">
      <c r="J331" s="400" t="s">
        <v>336</v>
      </c>
      <c r="K331" s="401" t="s">
        <v>927</v>
      </c>
      <c r="L331" s="402" t="s">
        <v>928</v>
      </c>
      <c r="M331" s="402">
        <v>33743.724509</v>
      </c>
      <c r="N331" s="402">
        <v>52784.666665500001</v>
      </c>
      <c r="O331" s="402">
        <v>0</v>
      </c>
      <c r="P331" s="402">
        <v>0</v>
      </c>
      <c r="Q331" s="402">
        <v>0</v>
      </c>
      <c r="R331" s="402">
        <v>0</v>
      </c>
      <c r="S331" s="402">
        <v>0</v>
      </c>
      <c r="T331" s="402">
        <v>0</v>
      </c>
      <c r="U331" s="402">
        <v>0</v>
      </c>
      <c r="V331" s="402">
        <v>4535.5439926999998</v>
      </c>
      <c r="W331" s="402">
        <v>4775.5439926999998</v>
      </c>
      <c r="X331" s="402">
        <v>6535.5439926999998</v>
      </c>
      <c r="Y331" s="402">
        <v>10594.0939927</v>
      </c>
      <c r="Z331" s="402">
        <v>7302.9985382000004</v>
      </c>
      <c r="AA331" s="402">
        <v>33743.724509</v>
      </c>
    </row>
    <row r="332" spans="10:27" ht="15" customHeight="1" x14ac:dyDescent="0.2">
      <c r="J332" s="392" t="s">
        <v>336</v>
      </c>
      <c r="K332" s="399" t="s">
        <v>929</v>
      </c>
      <c r="L332" s="392" t="s">
        <v>930</v>
      </c>
      <c r="M332" s="393">
        <v>19737685.193340499</v>
      </c>
      <c r="N332" s="393">
        <v>25095309.817515001</v>
      </c>
      <c r="O332" s="393">
        <v>2689911.09</v>
      </c>
      <c r="P332" s="393">
        <v>3021657.66</v>
      </c>
      <c r="Q332" s="393">
        <v>3197749.27</v>
      </c>
      <c r="R332" s="393">
        <v>1082544.1200000001</v>
      </c>
      <c r="S332" s="393">
        <v>1960797.87</v>
      </c>
      <c r="T332" s="393">
        <v>2555568.7799999998</v>
      </c>
      <c r="U332" s="393">
        <v>1385635.43</v>
      </c>
      <c r="V332" s="393">
        <v>1639923.8734345001</v>
      </c>
      <c r="W332" s="393">
        <v>392422.77155499998</v>
      </c>
      <c r="X332" s="393">
        <v>389390.82567699999</v>
      </c>
      <c r="Y332" s="393">
        <v>501160.10240550002</v>
      </c>
      <c r="Z332" s="393">
        <v>920923.40026849997</v>
      </c>
      <c r="AA332" s="393">
        <v>19737685.193340499</v>
      </c>
    </row>
    <row r="333" spans="10:27" ht="15" customHeight="1" x14ac:dyDescent="0.25">
      <c r="J333" s="400" t="s">
        <v>336</v>
      </c>
      <c r="K333" s="401" t="s">
        <v>931</v>
      </c>
      <c r="L333" s="402" t="s">
        <v>932</v>
      </c>
      <c r="M333" s="402">
        <v>6779409.8399999999</v>
      </c>
      <c r="N333" s="402">
        <v>382887.61360139999</v>
      </c>
      <c r="O333" s="402">
        <v>2030878.52</v>
      </c>
      <c r="P333" s="402">
        <v>299172.62</v>
      </c>
      <c r="Q333" s="402">
        <v>544213.99</v>
      </c>
      <c r="R333" s="402">
        <v>297863.18</v>
      </c>
      <c r="S333" s="402">
        <v>900429.36</v>
      </c>
      <c r="T333" s="402">
        <v>2632953.63</v>
      </c>
      <c r="U333" s="402">
        <v>72898.539999999994</v>
      </c>
      <c r="V333" s="402">
        <v>200</v>
      </c>
      <c r="W333" s="402">
        <v>200</v>
      </c>
      <c r="X333" s="402">
        <v>200</v>
      </c>
      <c r="Y333" s="402">
        <v>200</v>
      </c>
      <c r="Z333" s="402">
        <v>200</v>
      </c>
      <c r="AA333" s="402">
        <v>6779409.8399999999</v>
      </c>
    </row>
    <row r="334" spans="10:27" ht="15" customHeight="1" x14ac:dyDescent="0.25">
      <c r="J334" s="400" t="s">
        <v>336</v>
      </c>
      <c r="K334" s="401" t="s">
        <v>933</v>
      </c>
      <c r="L334" s="402" t="s">
        <v>934</v>
      </c>
      <c r="M334" s="402">
        <v>633488.81000000006</v>
      </c>
      <c r="N334" s="402">
        <v>282596.24680109997</v>
      </c>
      <c r="O334" s="402">
        <v>79359.12</v>
      </c>
      <c r="P334" s="402">
        <v>79754.850000000006</v>
      </c>
      <c r="Q334" s="402">
        <v>102196.84</v>
      </c>
      <c r="R334" s="402">
        <v>94703.79</v>
      </c>
      <c r="S334" s="402">
        <v>99861.6</v>
      </c>
      <c r="T334" s="402">
        <v>87704.38</v>
      </c>
      <c r="U334" s="402">
        <v>84908.23</v>
      </c>
      <c r="V334" s="402">
        <v>1000</v>
      </c>
      <c r="W334" s="402">
        <v>1000</v>
      </c>
      <c r="X334" s="402">
        <v>1000</v>
      </c>
      <c r="Y334" s="402">
        <v>1000</v>
      </c>
      <c r="Z334" s="402">
        <v>1000</v>
      </c>
      <c r="AA334" s="402">
        <v>633488.81000000006</v>
      </c>
    </row>
    <row r="335" spans="10:27" ht="15" customHeight="1" x14ac:dyDescent="0.25">
      <c r="J335" s="400" t="s">
        <v>336</v>
      </c>
      <c r="K335" s="401" t="s">
        <v>935</v>
      </c>
      <c r="L335" s="402" t="s">
        <v>936</v>
      </c>
      <c r="M335" s="402">
        <v>3764799.56</v>
      </c>
      <c r="N335" s="402">
        <v>5312961.5685559995</v>
      </c>
      <c r="O335" s="402">
        <v>580186.42000000004</v>
      </c>
      <c r="P335" s="402">
        <v>579340.93000000005</v>
      </c>
      <c r="Q335" s="402">
        <v>688789.42</v>
      </c>
      <c r="R335" s="402">
        <v>888419.27</v>
      </c>
      <c r="S335" s="402">
        <v>176796.14</v>
      </c>
      <c r="T335" s="402">
        <v>549858.68000000005</v>
      </c>
      <c r="U335" s="402">
        <v>301408.7</v>
      </c>
      <c r="V335" s="402">
        <v>0</v>
      </c>
      <c r="W335" s="402">
        <v>0</v>
      </c>
      <c r="X335" s="402">
        <v>0</v>
      </c>
      <c r="Y335" s="402">
        <v>0</v>
      </c>
      <c r="Z335" s="402">
        <v>0</v>
      </c>
      <c r="AA335" s="402">
        <v>3764799.56</v>
      </c>
    </row>
    <row r="336" spans="10:27" ht="15" customHeight="1" x14ac:dyDescent="0.25">
      <c r="J336" s="400" t="s">
        <v>336</v>
      </c>
      <c r="K336" s="401" t="s">
        <v>937</v>
      </c>
      <c r="L336" s="402" t="s">
        <v>938</v>
      </c>
      <c r="M336" s="402">
        <v>204693.4</v>
      </c>
      <c r="N336" s="402">
        <v>65195.522947099998</v>
      </c>
      <c r="O336" s="402">
        <v>34806.54</v>
      </c>
      <c r="P336" s="402">
        <v>30207.45</v>
      </c>
      <c r="Q336" s="402">
        <v>27626.73</v>
      </c>
      <c r="R336" s="402">
        <v>6203.08</v>
      </c>
      <c r="S336" s="402">
        <v>62762.59</v>
      </c>
      <c r="T336" s="402">
        <v>25317.11</v>
      </c>
      <c r="U336" s="402">
        <v>17769.900000000001</v>
      </c>
      <c r="V336" s="402">
        <v>0</v>
      </c>
      <c r="W336" s="402">
        <v>0</v>
      </c>
      <c r="X336" s="402">
        <v>0</v>
      </c>
      <c r="Y336" s="402">
        <v>0</v>
      </c>
      <c r="Z336" s="402">
        <v>0</v>
      </c>
      <c r="AA336" s="402">
        <v>204693.4</v>
      </c>
    </row>
    <row r="337" spans="10:27" ht="15" customHeight="1" x14ac:dyDescent="0.25">
      <c r="J337" s="400" t="s">
        <v>336</v>
      </c>
      <c r="K337" s="401" t="s">
        <v>939</v>
      </c>
      <c r="L337" s="402" t="s">
        <v>940</v>
      </c>
      <c r="M337" s="402">
        <v>127729.11</v>
      </c>
      <c r="N337" s="402">
        <v>90270.724080500004</v>
      </c>
      <c r="O337" s="402">
        <v>36427.379999999997</v>
      </c>
      <c r="P337" s="402">
        <v>7434.12</v>
      </c>
      <c r="Q337" s="402">
        <v>25356.36</v>
      </c>
      <c r="R337" s="402">
        <v>10894.67</v>
      </c>
      <c r="S337" s="402">
        <v>4872.41</v>
      </c>
      <c r="T337" s="402">
        <v>32844.74</v>
      </c>
      <c r="U337" s="402">
        <v>9899.43</v>
      </c>
      <c r="V337" s="402">
        <v>0</v>
      </c>
      <c r="W337" s="402">
        <v>0</v>
      </c>
      <c r="X337" s="402">
        <v>0</v>
      </c>
      <c r="Y337" s="402">
        <v>0</v>
      </c>
      <c r="Z337" s="402">
        <v>0</v>
      </c>
      <c r="AA337" s="402">
        <v>127729.11</v>
      </c>
    </row>
    <row r="338" spans="10:27" ht="15" customHeight="1" x14ac:dyDescent="0.25">
      <c r="J338" s="400" t="s">
        <v>336</v>
      </c>
      <c r="K338" s="401" t="s">
        <v>941</v>
      </c>
      <c r="L338" s="402" t="s">
        <v>942</v>
      </c>
      <c r="M338" s="402">
        <v>214267.47</v>
      </c>
      <c r="N338" s="402">
        <v>285563.83799999999</v>
      </c>
      <c r="O338" s="402">
        <v>38389.67</v>
      </c>
      <c r="P338" s="402">
        <v>15723.24</v>
      </c>
      <c r="Q338" s="402">
        <v>38164.71</v>
      </c>
      <c r="R338" s="402">
        <v>33038.04</v>
      </c>
      <c r="S338" s="402">
        <v>25690.78</v>
      </c>
      <c r="T338" s="402">
        <v>30924.35</v>
      </c>
      <c r="U338" s="402">
        <v>32336.68</v>
      </c>
      <c r="V338" s="402">
        <v>0</v>
      </c>
      <c r="W338" s="402">
        <v>0</v>
      </c>
      <c r="X338" s="402">
        <v>0</v>
      </c>
      <c r="Y338" s="402">
        <v>0</v>
      </c>
      <c r="Z338" s="402">
        <v>0</v>
      </c>
      <c r="AA338" s="402">
        <v>214267.47</v>
      </c>
    </row>
    <row r="339" spans="10:27" ht="15" customHeight="1" x14ac:dyDescent="0.25">
      <c r="J339" s="400" t="s">
        <v>336</v>
      </c>
      <c r="K339" s="401" t="s">
        <v>943</v>
      </c>
      <c r="L339" s="402" t="s">
        <v>944</v>
      </c>
      <c r="M339" s="402">
        <v>90664.17</v>
      </c>
      <c r="N339" s="402">
        <v>20060.1609063</v>
      </c>
      <c r="O339" s="402">
        <v>40989.39</v>
      </c>
      <c r="P339" s="402">
        <v>8356.0400000000009</v>
      </c>
      <c r="Q339" s="402">
        <v>10562.27</v>
      </c>
      <c r="R339" s="402">
        <v>9045.4500000000007</v>
      </c>
      <c r="S339" s="402">
        <v>3153.57</v>
      </c>
      <c r="T339" s="402">
        <v>5619.62</v>
      </c>
      <c r="U339" s="402">
        <v>4437.83</v>
      </c>
      <c r="V339" s="402">
        <v>1500</v>
      </c>
      <c r="W339" s="402">
        <v>2000</v>
      </c>
      <c r="X339" s="402">
        <v>1500</v>
      </c>
      <c r="Y339" s="402">
        <v>1500</v>
      </c>
      <c r="Z339" s="402">
        <v>2000</v>
      </c>
      <c r="AA339" s="402">
        <v>90664.17</v>
      </c>
    </row>
    <row r="340" spans="10:27" ht="15" customHeight="1" x14ac:dyDescent="0.25">
      <c r="J340" s="400" t="s">
        <v>336</v>
      </c>
      <c r="K340" s="401" t="s">
        <v>945</v>
      </c>
      <c r="L340" s="402" t="s">
        <v>946</v>
      </c>
      <c r="M340" s="402">
        <v>2009346.28</v>
      </c>
      <c r="N340" s="402">
        <v>290872.3331478</v>
      </c>
      <c r="O340" s="402">
        <v>311051.84999999998</v>
      </c>
      <c r="P340" s="402">
        <v>177617.99</v>
      </c>
      <c r="Q340" s="402">
        <v>409872.26</v>
      </c>
      <c r="R340" s="402">
        <v>312108.52</v>
      </c>
      <c r="S340" s="402">
        <v>276895.06</v>
      </c>
      <c r="T340" s="402">
        <v>309014.74</v>
      </c>
      <c r="U340" s="402">
        <v>212785.86</v>
      </c>
      <c r="V340" s="402">
        <v>0</v>
      </c>
      <c r="W340" s="402">
        <v>0</v>
      </c>
      <c r="X340" s="402">
        <v>0</v>
      </c>
      <c r="Y340" s="402">
        <v>0</v>
      </c>
      <c r="Z340" s="402">
        <v>0</v>
      </c>
      <c r="AA340" s="402">
        <v>2009346.28</v>
      </c>
    </row>
    <row r="341" spans="10:27" ht="15" customHeight="1" x14ac:dyDescent="0.25">
      <c r="J341" s="400" t="s">
        <v>336</v>
      </c>
      <c r="K341" s="401" t="s">
        <v>947</v>
      </c>
      <c r="L341" s="402" t="s">
        <v>948</v>
      </c>
      <c r="M341" s="402">
        <v>33884408.979999997</v>
      </c>
      <c r="N341" s="402">
        <v>3395277.6550003998</v>
      </c>
      <c r="O341" s="402">
        <v>3353117.65</v>
      </c>
      <c r="P341" s="402">
        <v>3778968.75</v>
      </c>
      <c r="Q341" s="402">
        <v>5903180.75</v>
      </c>
      <c r="R341" s="402">
        <v>8689557.9700000007</v>
      </c>
      <c r="S341" s="402">
        <v>4403309.22</v>
      </c>
      <c r="T341" s="402">
        <v>6044312.4000000004</v>
      </c>
      <c r="U341" s="402">
        <v>1700712.24</v>
      </c>
      <c r="V341" s="402">
        <v>2250</v>
      </c>
      <c r="W341" s="402">
        <v>2250</v>
      </c>
      <c r="X341" s="402">
        <v>2250</v>
      </c>
      <c r="Y341" s="402">
        <v>2250</v>
      </c>
      <c r="Z341" s="402">
        <v>2250</v>
      </c>
      <c r="AA341" s="402">
        <v>33884408.979999997</v>
      </c>
    </row>
    <row r="342" spans="10:27" ht="15" customHeight="1" x14ac:dyDescent="0.25">
      <c r="J342" s="400" t="s">
        <v>336</v>
      </c>
      <c r="K342" s="401" t="s">
        <v>949</v>
      </c>
      <c r="L342" s="402" t="s">
        <v>950</v>
      </c>
      <c r="M342" s="402">
        <v>1259470.58</v>
      </c>
      <c r="N342" s="402">
        <v>90270.724080500004</v>
      </c>
      <c r="O342" s="402">
        <v>170465.51</v>
      </c>
      <c r="P342" s="402">
        <v>184037.56</v>
      </c>
      <c r="Q342" s="402">
        <v>227658.23999999999</v>
      </c>
      <c r="R342" s="402">
        <v>165720.60999999999</v>
      </c>
      <c r="S342" s="402">
        <v>226205.48</v>
      </c>
      <c r="T342" s="402">
        <v>129384.09</v>
      </c>
      <c r="U342" s="402">
        <v>155999.09</v>
      </c>
      <c r="V342" s="402">
        <v>0</v>
      </c>
      <c r="W342" s="402">
        <v>0</v>
      </c>
      <c r="X342" s="402">
        <v>0</v>
      </c>
      <c r="Y342" s="402">
        <v>0</v>
      </c>
      <c r="Z342" s="402">
        <v>0</v>
      </c>
      <c r="AA342" s="402">
        <v>1259470.58</v>
      </c>
    </row>
    <row r="343" spans="10:27" ht="15" customHeight="1" x14ac:dyDescent="0.25">
      <c r="J343" s="400" t="s">
        <v>336</v>
      </c>
      <c r="K343" s="401" t="s">
        <v>951</v>
      </c>
      <c r="L343" s="402" t="s">
        <v>952</v>
      </c>
      <c r="M343" s="402">
        <v>27684.6</v>
      </c>
      <c r="N343" s="402">
        <v>8024.0643627999998</v>
      </c>
      <c r="O343" s="402">
        <v>0</v>
      </c>
      <c r="P343" s="402">
        <v>0</v>
      </c>
      <c r="Q343" s="402">
        <v>0</v>
      </c>
      <c r="R343" s="402">
        <v>0</v>
      </c>
      <c r="S343" s="402">
        <v>0</v>
      </c>
      <c r="T343" s="402">
        <v>27684.6</v>
      </c>
      <c r="U343" s="402">
        <v>0</v>
      </c>
      <c r="V343" s="402">
        <v>0</v>
      </c>
      <c r="W343" s="402">
        <v>0</v>
      </c>
      <c r="X343" s="402">
        <v>0</v>
      </c>
      <c r="Y343" s="402">
        <v>0</v>
      </c>
      <c r="Z343" s="402">
        <v>0</v>
      </c>
      <c r="AA343" s="402">
        <v>27684.6</v>
      </c>
    </row>
    <row r="344" spans="10:27" ht="15" customHeight="1" x14ac:dyDescent="0.25">
      <c r="J344" s="400" t="s">
        <v>336</v>
      </c>
      <c r="K344" s="401" t="s">
        <v>953</v>
      </c>
      <c r="L344" s="402" t="s">
        <v>954</v>
      </c>
      <c r="M344" s="402">
        <v>283624.65000000002</v>
      </c>
      <c r="N344" s="402">
        <v>12215.040226700001</v>
      </c>
      <c r="O344" s="402">
        <v>14184</v>
      </c>
      <c r="P344" s="402">
        <v>39179.93</v>
      </c>
      <c r="Q344" s="402">
        <v>54850.75</v>
      </c>
      <c r="R344" s="402">
        <v>62292.17</v>
      </c>
      <c r="S344" s="402">
        <v>46012.32</v>
      </c>
      <c r="T344" s="402">
        <v>29087.62</v>
      </c>
      <c r="U344" s="402">
        <v>37182.86</v>
      </c>
      <c r="V344" s="402">
        <v>167</v>
      </c>
      <c r="W344" s="402">
        <v>167</v>
      </c>
      <c r="X344" s="402">
        <v>167</v>
      </c>
      <c r="Y344" s="402">
        <v>167</v>
      </c>
      <c r="Z344" s="402">
        <v>167</v>
      </c>
      <c r="AA344" s="402">
        <v>283624.65000000002</v>
      </c>
    </row>
    <row r="345" spans="10:27" ht="15" customHeight="1" x14ac:dyDescent="0.25">
      <c r="J345" s="400" t="s">
        <v>336</v>
      </c>
      <c r="K345" s="401" t="s">
        <v>955</v>
      </c>
      <c r="L345" s="402" t="s">
        <v>956</v>
      </c>
      <c r="M345" s="402">
        <v>194882.37</v>
      </c>
      <c r="N345" s="402">
        <v>200000</v>
      </c>
      <c r="O345" s="402">
        <v>-5117.63</v>
      </c>
      <c r="P345" s="402">
        <v>0</v>
      </c>
      <c r="Q345" s="402">
        <v>0</v>
      </c>
      <c r="R345" s="402">
        <v>0</v>
      </c>
      <c r="S345" s="402">
        <v>0</v>
      </c>
      <c r="T345" s="402">
        <v>0</v>
      </c>
      <c r="U345" s="402">
        <v>0</v>
      </c>
      <c r="V345" s="402">
        <v>0</v>
      </c>
      <c r="W345" s="402">
        <v>0</v>
      </c>
      <c r="X345" s="402">
        <v>0</v>
      </c>
      <c r="Y345" s="402">
        <v>0</v>
      </c>
      <c r="Z345" s="402">
        <v>200000</v>
      </c>
      <c r="AA345" s="402">
        <v>194882.37</v>
      </c>
    </row>
    <row r="346" spans="10:27" ht="15" customHeight="1" x14ac:dyDescent="0.25">
      <c r="J346" s="400" t="s">
        <v>336</v>
      </c>
      <c r="K346" s="401" t="s">
        <v>957</v>
      </c>
      <c r="L346" s="402" t="s">
        <v>958</v>
      </c>
      <c r="M346" s="402">
        <v>479914.39</v>
      </c>
      <c r="N346" s="402">
        <v>631092</v>
      </c>
      <c r="O346" s="402">
        <v>61740.33</v>
      </c>
      <c r="P346" s="402">
        <v>75337.59</v>
      </c>
      <c r="Q346" s="402">
        <v>68605.929999999993</v>
      </c>
      <c r="R346" s="402">
        <v>68569.53</v>
      </c>
      <c r="S346" s="402">
        <v>68619.149999999994</v>
      </c>
      <c r="T346" s="402">
        <v>68536.33</v>
      </c>
      <c r="U346" s="402">
        <v>68505.53</v>
      </c>
      <c r="V346" s="402">
        <v>0</v>
      </c>
      <c r="W346" s="402">
        <v>0</v>
      </c>
      <c r="X346" s="402">
        <v>0</v>
      </c>
      <c r="Y346" s="402">
        <v>0</v>
      </c>
      <c r="Z346" s="402">
        <v>0</v>
      </c>
      <c r="AA346" s="402">
        <v>479914.39</v>
      </c>
    </row>
    <row r="347" spans="10:27" ht="15" customHeight="1" x14ac:dyDescent="0.25">
      <c r="J347" s="400" t="s">
        <v>336</v>
      </c>
      <c r="K347" s="401" t="s">
        <v>959</v>
      </c>
      <c r="L347" s="402" t="s">
        <v>960</v>
      </c>
      <c r="M347" s="402">
        <v>84760560.469999999</v>
      </c>
      <c r="N347" s="402">
        <v>4303890.9993457003</v>
      </c>
      <c r="O347" s="402">
        <v>13802232.02</v>
      </c>
      <c r="P347" s="402">
        <v>12128864.880000001</v>
      </c>
      <c r="Q347" s="402">
        <v>13200986.109999999</v>
      </c>
      <c r="R347" s="402">
        <v>13376468.369999999</v>
      </c>
      <c r="S347" s="402">
        <v>13869873.4</v>
      </c>
      <c r="T347" s="402">
        <v>13958098.060000001</v>
      </c>
      <c r="U347" s="402">
        <v>4424037.63</v>
      </c>
      <c r="V347" s="402">
        <v>0</v>
      </c>
      <c r="W347" s="402">
        <v>0</v>
      </c>
      <c r="X347" s="402">
        <v>0</v>
      </c>
      <c r="Y347" s="402">
        <v>0</v>
      </c>
      <c r="Z347" s="402">
        <v>0</v>
      </c>
      <c r="AA347" s="402">
        <v>84760560.469999999</v>
      </c>
    </row>
    <row r="348" spans="10:27" ht="15" customHeight="1" x14ac:dyDescent="0.25">
      <c r="J348" s="400" t="s">
        <v>336</v>
      </c>
      <c r="K348" s="401" t="s">
        <v>961</v>
      </c>
      <c r="L348" s="402" t="s">
        <v>962</v>
      </c>
      <c r="M348" s="402">
        <v>-9123.94</v>
      </c>
      <c r="N348" s="402">
        <v>0</v>
      </c>
      <c r="O348" s="402">
        <v>0</v>
      </c>
      <c r="P348" s="402">
        <v>158.63</v>
      </c>
      <c r="Q348" s="402">
        <v>-128.74</v>
      </c>
      <c r="R348" s="402">
        <v>0</v>
      </c>
      <c r="S348" s="402">
        <v>-11000.06</v>
      </c>
      <c r="T348" s="402">
        <v>0</v>
      </c>
      <c r="U348" s="402">
        <v>1846.23</v>
      </c>
      <c r="V348" s="402">
        <v>0</v>
      </c>
      <c r="W348" s="402">
        <v>0</v>
      </c>
      <c r="X348" s="402">
        <v>0</v>
      </c>
      <c r="Y348" s="402">
        <v>0</v>
      </c>
      <c r="Z348" s="402">
        <v>0</v>
      </c>
      <c r="AA348" s="402">
        <v>-9123.94</v>
      </c>
    </row>
    <row r="349" spans="10:27" ht="15" customHeight="1" x14ac:dyDescent="0.25">
      <c r="J349" s="400" t="s">
        <v>336</v>
      </c>
      <c r="K349" s="401" t="s">
        <v>963</v>
      </c>
      <c r="L349" s="402" t="s">
        <v>964</v>
      </c>
      <c r="M349" s="402">
        <v>20662.73</v>
      </c>
      <c r="N349" s="402">
        <v>0</v>
      </c>
      <c r="O349" s="402">
        <v>-25185.53</v>
      </c>
      <c r="P349" s="402">
        <v>-8257.31</v>
      </c>
      <c r="Q349" s="402">
        <v>-3534.34</v>
      </c>
      <c r="R349" s="402">
        <v>5032.96</v>
      </c>
      <c r="S349" s="402">
        <v>25135.23</v>
      </c>
      <c r="T349" s="402">
        <v>-56.01</v>
      </c>
      <c r="U349" s="402">
        <v>27527.73</v>
      </c>
      <c r="V349" s="402">
        <v>0</v>
      </c>
      <c r="W349" s="402">
        <v>0</v>
      </c>
      <c r="X349" s="402">
        <v>0</v>
      </c>
      <c r="Y349" s="402">
        <v>0</v>
      </c>
      <c r="Z349" s="402">
        <v>0</v>
      </c>
      <c r="AA349" s="402">
        <v>20662.73</v>
      </c>
    </row>
    <row r="350" spans="10:27" ht="15" customHeight="1" x14ac:dyDescent="0.25">
      <c r="J350" s="400" t="s">
        <v>336</v>
      </c>
      <c r="K350" s="401" t="s">
        <v>965</v>
      </c>
      <c r="L350" s="402" t="s">
        <v>966</v>
      </c>
      <c r="M350" s="402">
        <v>-1560218.08</v>
      </c>
      <c r="N350" s="402">
        <v>0</v>
      </c>
      <c r="O350" s="402">
        <v>-296819.31</v>
      </c>
      <c r="P350" s="402">
        <v>-50445.95</v>
      </c>
      <c r="Q350" s="402">
        <v>13895.88</v>
      </c>
      <c r="R350" s="402">
        <v>-117159.2</v>
      </c>
      <c r="S350" s="402">
        <v>-69642.42</v>
      </c>
      <c r="T350" s="402">
        <v>-852396.3</v>
      </c>
      <c r="U350" s="402">
        <v>-187650.78</v>
      </c>
      <c r="V350" s="402">
        <v>0</v>
      </c>
      <c r="W350" s="402">
        <v>0</v>
      </c>
      <c r="X350" s="402">
        <v>0</v>
      </c>
      <c r="Y350" s="402">
        <v>0</v>
      </c>
      <c r="Z350" s="402">
        <v>0</v>
      </c>
      <c r="AA350" s="402">
        <v>-1560218.08</v>
      </c>
    </row>
    <row r="351" spans="10:27" ht="15" customHeight="1" x14ac:dyDescent="0.25">
      <c r="J351" s="400" t="s">
        <v>336</v>
      </c>
      <c r="K351" s="401" t="s">
        <v>967</v>
      </c>
      <c r="L351" s="402" t="s">
        <v>968</v>
      </c>
      <c r="M351" s="402">
        <v>329729.56</v>
      </c>
      <c r="N351" s="402">
        <v>200472.8</v>
      </c>
      <c r="O351" s="402">
        <v>19887.09</v>
      </c>
      <c r="P351" s="402">
        <v>47275.18</v>
      </c>
      <c r="Q351" s="402">
        <v>-3977.23</v>
      </c>
      <c r="R351" s="402">
        <v>807569.9</v>
      </c>
      <c r="S351" s="402">
        <v>695855.04</v>
      </c>
      <c r="T351" s="402">
        <v>-2054060.22</v>
      </c>
      <c r="U351" s="402">
        <v>442619.8</v>
      </c>
      <c r="V351" s="402">
        <v>1074560</v>
      </c>
      <c r="W351" s="402">
        <v>-175000</v>
      </c>
      <c r="X351" s="402">
        <v>-175000</v>
      </c>
      <c r="Y351" s="402">
        <v>-175000</v>
      </c>
      <c r="Z351" s="402">
        <v>-175000</v>
      </c>
      <c r="AA351" s="402">
        <v>329729.56</v>
      </c>
    </row>
    <row r="352" spans="10:27" ht="15" customHeight="1" x14ac:dyDescent="0.25">
      <c r="J352" s="400" t="s">
        <v>336</v>
      </c>
      <c r="K352" s="401" t="s">
        <v>969</v>
      </c>
      <c r="L352" s="402" t="s">
        <v>970</v>
      </c>
      <c r="M352" s="402">
        <v>-117000985.73</v>
      </c>
      <c r="N352" s="402">
        <v>0</v>
      </c>
      <c r="O352" s="402">
        <v>-17556681.93</v>
      </c>
      <c r="P352" s="402">
        <v>-14371068.84</v>
      </c>
      <c r="Q352" s="402">
        <v>-18110570.66</v>
      </c>
      <c r="R352" s="402">
        <v>-23627784.190000001</v>
      </c>
      <c r="S352" s="402">
        <v>-18844031</v>
      </c>
      <c r="T352" s="402">
        <v>-18469259.039999999</v>
      </c>
      <c r="U352" s="402">
        <v>-6021590.0700000003</v>
      </c>
      <c r="V352" s="402">
        <v>0</v>
      </c>
      <c r="W352" s="402">
        <v>0</v>
      </c>
      <c r="X352" s="402">
        <v>0</v>
      </c>
      <c r="Y352" s="402">
        <v>0</v>
      </c>
      <c r="Z352" s="402">
        <v>0</v>
      </c>
      <c r="AA352" s="402">
        <v>-117000985.73</v>
      </c>
    </row>
    <row r="353" spans="10:27" ht="15" customHeight="1" x14ac:dyDescent="0.25">
      <c r="J353" s="400" t="s">
        <v>336</v>
      </c>
      <c r="K353" s="401" t="s">
        <v>971</v>
      </c>
      <c r="L353" s="402" t="s">
        <v>972</v>
      </c>
      <c r="M353" s="402">
        <v>130000</v>
      </c>
      <c r="N353" s="402">
        <v>386235.04</v>
      </c>
      <c r="O353" s="402">
        <v>0</v>
      </c>
      <c r="P353" s="402">
        <v>0</v>
      </c>
      <c r="Q353" s="402">
        <v>0</v>
      </c>
      <c r="R353" s="402">
        <v>0</v>
      </c>
      <c r="S353" s="402">
        <v>0</v>
      </c>
      <c r="T353" s="402">
        <v>0</v>
      </c>
      <c r="U353" s="402">
        <v>0</v>
      </c>
      <c r="V353" s="402">
        <v>26000</v>
      </c>
      <c r="W353" s="402">
        <v>26000</v>
      </c>
      <c r="X353" s="402">
        <v>26000</v>
      </c>
      <c r="Y353" s="402">
        <v>26000</v>
      </c>
      <c r="Z353" s="402">
        <v>26000</v>
      </c>
      <c r="AA353" s="402">
        <v>130000</v>
      </c>
    </row>
    <row r="354" spans="10:27" ht="15" customHeight="1" x14ac:dyDescent="0.25">
      <c r="J354" s="400" t="s">
        <v>336</v>
      </c>
      <c r="K354" s="401" t="s">
        <v>973</v>
      </c>
      <c r="L354" s="402" t="s">
        <v>974</v>
      </c>
      <c r="M354" s="402">
        <v>-413563.9</v>
      </c>
      <c r="N354" s="402">
        <v>311118</v>
      </c>
      <c r="O354" s="402">
        <v>0</v>
      </c>
      <c r="P354" s="402">
        <v>0</v>
      </c>
      <c r="Q354" s="402">
        <v>0</v>
      </c>
      <c r="R354" s="402">
        <v>0</v>
      </c>
      <c r="S354" s="402">
        <v>0</v>
      </c>
      <c r="T354" s="402">
        <v>0</v>
      </c>
      <c r="U354" s="402">
        <v>0</v>
      </c>
      <c r="V354" s="402">
        <v>-74817.58</v>
      </c>
      <c r="W354" s="402">
        <v>-84934.58</v>
      </c>
      <c r="X354" s="402">
        <v>-85144.58</v>
      </c>
      <c r="Y354" s="402">
        <v>-84144.58</v>
      </c>
      <c r="Z354" s="402">
        <v>-84522.58</v>
      </c>
      <c r="AA354" s="402">
        <v>-413563.9</v>
      </c>
    </row>
    <row r="355" spans="10:27" ht="15" customHeight="1" x14ac:dyDescent="0.25">
      <c r="J355" s="400" t="s">
        <v>336</v>
      </c>
      <c r="K355" s="401" t="s">
        <v>975</v>
      </c>
      <c r="L355" s="402" t="s">
        <v>976</v>
      </c>
      <c r="M355" s="402">
        <v>105536.0828955</v>
      </c>
      <c r="N355" s="402">
        <v>270908.51257159997</v>
      </c>
      <c r="O355" s="402">
        <v>0</v>
      </c>
      <c r="P355" s="402">
        <v>0</v>
      </c>
      <c r="Q355" s="402">
        <v>0</v>
      </c>
      <c r="R355" s="402">
        <v>0</v>
      </c>
      <c r="S355" s="402">
        <v>0</v>
      </c>
      <c r="T355" s="402">
        <v>0</v>
      </c>
      <c r="U355" s="402">
        <v>0</v>
      </c>
      <c r="V355" s="402">
        <v>18946.616579099998</v>
      </c>
      <c r="W355" s="402">
        <v>21910.616579099998</v>
      </c>
      <c r="X355" s="402">
        <v>20026.616579099998</v>
      </c>
      <c r="Y355" s="402">
        <v>20172.616579099998</v>
      </c>
      <c r="Z355" s="402">
        <v>24479.616579099998</v>
      </c>
      <c r="AA355" s="402">
        <v>105536.0828955</v>
      </c>
    </row>
    <row r="356" spans="10:27" ht="15" customHeight="1" x14ac:dyDescent="0.25">
      <c r="J356" s="400" t="s">
        <v>336</v>
      </c>
      <c r="K356" s="401" t="s">
        <v>977</v>
      </c>
      <c r="L356" s="402" t="s">
        <v>978</v>
      </c>
      <c r="M356" s="402">
        <v>472949.11013380002</v>
      </c>
      <c r="N356" s="402">
        <v>598483.92238710006</v>
      </c>
      <c r="O356" s="402">
        <v>0</v>
      </c>
      <c r="P356" s="402">
        <v>0</v>
      </c>
      <c r="Q356" s="402">
        <v>0</v>
      </c>
      <c r="R356" s="402">
        <v>0</v>
      </c>
      <c r="S356" s="402">
        <v>0</v>
      </c>
      <c r="T356" s="402">
        <v>0</v>
      </c>
      <c r="U356" s="402">
        <v>0</v>
      </c>
      <c r="V356" s="402">
        <v>90713.376794600001</v>
      </c>
      <c r="W356" s="402">
        <v>101573.85741329999</v>
      </c>
      <c r="X356" s="402">
        <v>91822.921535300004</v>
      </c>
      <c r="Y356" s="402">
        <v>91163.188263799995</v>
      </c>
      <c r="Z356" s="402">
        <v>97675.766126799994</v>
      </c>
      <c r="AA356" s="402">
        <v>472949.11013380002</v>
      </c>
    </row>
    <row r="357" spans="10:27" ht="15" customHeight="1" x14ac:dyDescent="0.25">
      <c r="J357" s="400" t="s">
        <v>336</v>
      </c>
      <c r="K357" s="401" t="s">
        <v>979</v>
      </c>
      <c r="L357" s="402" t="s">
        <v>980</v>
      </c>
      <c r="M357" s="402">
        <v>2660512.0595534998</v>
      </c>
      <c r="N357" s="402">
        <v>1587259.2915000001</v>
      </c>
      <c r="O357" s="402">
        <v>0</v>
      </c>
      <c r="P357" s="402">
        <v>0</v>
      </c>
      <c r="Q357" s="402">
        <v>0</v>
      </c>
      <c r="R357" s="402">
        <v>0</v>
      </c>
      <c r="S357" s="402">
        <v>0</v>
      </c>
      <c r="T357" s="402">
        <v>0</v>
      </c>
      <c r="U357" s="402">
        <v>0</v>
      </c>
      <c r="V357" s="402">
        <v>532102.41191070003</v>
      </c>
      <c r="W357" s="402">
        <v>532102.41191070003</v>
      </c>
      <c r="X357" s="402">
        <v>532102.41191070003</v>
      </c>
      <c r="Y357" s="402">
        <v>532102.41191070003</v>
      </c>
      <c r="Z357" s="402">
        <v>532102.41191070003</v>
      </c>
      <c r="AA357" s="402">
        <v>2660512.0595534998</v>
      </c>
    </row>
    <row r="358" spans="10:27" ht="15" customHeight="1" x14ac:dyDescent="0.25">
      <c r="J358" s="400" t="s">
        <v>336</v>
      </c>
      <c r="K358" s="401" t="s">
        <v>981</v>
      </c>
      <c r="L358" s="402" t="s">
        <v>982</v>
      </c>
      <c r="M358" s="402">
        <v>160741.1</v>
      </c>
      <c r="N358" s="402">
        <v>30000</v>
      </c>
      <c r="O358" s="402">
        <v>0</v>
      </c>
      <c r="P358" s="402">
        <v>0</v>
      </c>
      <c r="Q358" s="402">
        <v>0</v>
      </c>
      <c r="R358" s="402">
        <v>0</v>
      </c>
      <c r="S358" s="402">
        <v>0</v>
      </c>
      <c r="T358" s="402">
        <v>0</v>
      </c>
      <c r="U358" s="402">
        <v>0</v>
      </c>
      <c r="V358" s="402">
        <v>32148.22</v>
      </c>
      <c r="W358" s="402">
        <v>32148.22</v>
      </c>
      <c r="X358" s="402">
        <v>32148.22</v>
      </c>
      <c r="Y358" s="402">
        <v>32148.22</v>
      </c>
      <c r="Z358" s="402">
        <v>32148.22</v>
      </c>
      <c r="AA358" s="402">
        <v>160741.1</v>
      </c>
    </row>
    <row r="359" spans="10:27" ht="15" customHeight="1" x14ac:dyDescent="0.25">
      <c r="J359" s="400" t="s">
        <v>336</v>
      </c>
      <c r="K359" s="401" t="s">
        <v>983</v>
      </c>
      <c r="L359" s="402" t="s">
        <v>984</v>
      </c>
      <c r="M359" s="402">
        <v>0</v>
      </c>
      <c r="N359" s="402">
        <v>82500</v>
      </c>
      <c r="O359" s="402">
        <v>0</v>
      </c>
      <c r="P359" s="402">
        <v>0</v>
      </c>
      <c r="Q359" s="402">
        <v>0</v>
      </c>
      <c r="R359" s="402">
        <v>0</v>
      </c>
      <c r="S359" s="402">
        <v>0</v>
      </c>
      <c r="T359" s="402">
        <v>0</v>
      </c>
      <c r="U359" s="402">
        <v>0</v>
      </c>
      <c r="V359" s="402">
        <v>0</v>
      </c>
      <c r="W359" s="402">
        <v>0</v>
      </c>
      <c r="X359" s="402">
        <v>0</v>
      </c>
      <c r="Y359" s="402">
        <v>0</v>
      </c>
      <c r="Z359" s="402">
        <v>0</v>
      </c>
      <c r="AA359" s="402">
        <v>0</v>
      </c>
    </row>
    <row r="360" spans="10:27" ht="15" customHeight="1" x14ac:dyDescent="0.25">
      <c r="J360" s="400" t="s">
        <v>336</v>
      </c>
      <c r="K360" s="401" t="s">
        <v>985</v>
      </c>
      <c r="L360" s="402" t="s">
        <v>986</v>
      </c>
      <c r="M360" s="402">
        <v>73547.7</v>
      </c>
      <c r="N360" s="402">
        <v>120000</v>
      </c>
      <c r="O360" s="402">
        <v>0</v>
      </c>
      <c r="P360" s="402">
        <v>0</v>
      </c>
      <c r="Q360" s="402">
        <v>0</v>
      </c>
      <c r="R360" s="402">
        <v>0</v>
      </c>
      <c r="S360" s="402">
        <v>0</v>
      </c>
      <c r="T360" s="402">
        <v>0</v>
      </c>
      <c r="U360" s="402">
        <v>0</v>
      </c>
      <c r="V360" s="402">
        <v>14709.54</v>
      </c>
      <c r="W360" s="402">
        <v>14709.54</v>
      </c>
      <c r="X360" s="402">
        <v>14709.54</v>
      </c>
      <c r="Y360" s="402">
        <v>14709.54</v>
      </c>
      <c r="Z360" s="402">
        <v>14709.54</v>
      </c>
      <c r="AA360" s="402">
        <v>73547.7</v>
      </c>
    </row>
    <row r="361" spans="10:27" ht="15" customHeight="1" x14ac:dyDescent="0.25">
      <c r="J361" s="400" t="s">
        <v>336</v>
      </c>
      <c r="K361" s="401" t="s">
        <v>987</v>
      </c>
      <c r="L361" s="402" t="s">
        <v>988</v>
      </c>
      <c r="M361" s="402">
        <v>6100</v>
      </c>
      <c r="N361" s="402">
        <v>74135</v>
      </c>
      <c r="O361" s="402">
        <v>0</v>
      </c>
      <c r="P361" s="402">
        <v>0</v>
      </c>
      <c r="Q361" s="402">
        <v>0</v>
      </c>
      <c r="R361" s="402">
        <v>0</v>
      </c>
      <c r="S361" s="402">
        <v>0</v>
      </c>
      <c r="T361" s="402">
        <v>0</v>
      </c>
      <c r="U361" s="402">
        <v>0</v>
      </c>
      <c r="V361" s="402">
        <v>1300</v>
      </c>
      <c r="W361" s="402">
        <v>1200</v>
      </c>
      <c r="X361" s="402">
        <v>1200</v>
      </c>
      <c r="Y361" s="402">
        <v>1200</v>
      </c>
      <c r="Z361" s="402">
        <v>1200</v>
      </c>
      <c r="AA361" s="402">
        <v>6100</v>
      </c>
    </row>
    <row r="362" spans="10:27" ht="15" customHeight="1" x14ac:dyDescent="0.25">
      <c r="J362" s="400" t="s">
        <v>336</v>
      </c>
      <c r="K362" s="401" t="s">
        <v>989</v>
      </c>
      <c r="L362" s="402" t="s">
        <v>990</v>
      </c>
      <c r="M362" s="402">
        <v>6552.2</v>
      </c>
      <c r="N362" s="402">
        <v>0</v>
      </c>
      <c r="O362" s="402">
        <v>0</v>
      </c>
      <c r="P362" s="402">
        <v>0</v>
      </c>
      <c r="Q362" s="402">
        <v>0</v>
      </c>
      <c r="R362" s="402">
        <v>0</v>
      </c>
      <c r="S362" s="402">
        <v>0</v>
      </c>
      <c r="T362" s="402">
        <v>0</v>
      </c>
      <c r="U362" s="402">
        <v>0</v>
      </c>
      <c r="V362" s="402">
        <v>1310.44</v>
      </c>
      <c r="W362" s="402">
        <v>1310.44</v>
      </c>
      <c r="X362" s="402">
        <v>1310.44</v>
      </c>
      <c r="Y362" s="402">
        <v>1310.44</v>
      </c>
      <c r="Z362" s="402">
        <v>1310.44</v>
      </c>
      <c r="AA362" s="402">
        <v>6552.2</v>
      </c>
    </row>
    <row r="363" spans="10:27" ht="15" customHeight="1" x14ac:dyDescent="0.25">
      <c r="J363" s="400" t="s">
        <v>336</v>
      </c>
      <c r="K363" s="401" t="s">
        <v>991</v>
      </c>
      <c r="L363" s="402" t="s">
        <v>992</v>
      </c>
      <c r="M363" s="402">
        <v>2887743.8727326998</v>
      </c>
      <c r="N363" s="402">
        <v>5943391.7599999998</v>
      </c>
      <c r="O363" s="402">
        <v>0</v>
      </c>
      <c r="P363" s="402">
        <v>0</v>
      </c>
      <c r="Q363" s="402">
        <v>0</v>
      </c>
      <c r="R363" s="402">
        <v>0</v>
      </c>
      <c r="S363" s="402">
        <v>0</v>
      </c>
      <c r="T363" s="402">
        <v>0</v>
      </c>
      <c r="U363" s="402">
        <v>0</v>
      </c>
      <c r="V363" s="402">
        <v>519190.29854510003</v>
      </c>
      <c r="W363" s="402">
        <v>532341.71604690002</v>
      </c>
      <c r="X363" s="402">
        <v>542404.70604690001</v>
      </c>
      <c r="Y363" s="402">
        <v>646647.71604690002</v>
      </c>
      <c r="Z363" s="402">
        <v>647159.43604689999</v>
      </c>
      <c r="AA363" s="402">
        <v>2887743.8727326998</v>
      </c>
    </row>
    <row r="364" spans="10:27" ht="15" customHeight="1" x14ac:dyDescent="0.25">
      <c r="J364" s="400" t="s">
        <v>336</v>
      </c>
      <c r="K364" s="401" t="s">
        <v>993</v>
      </c>
      <c r="L364" s="402" t="s">
        <v>994</v>
      </c>
      <c r="M364" s="402">
        <v>-1075844.4519750001</v>
      </c>
      <c r="N364" s="402">
        <v>119627</v>
      </c>
      <c r="O364" s="402">
        <v>0</v>
      </c>
      <c r="P364" s="402">
        <v>0</v>
      </c>
      <c r="Q364" s="402">
        <v>0</v>
      </c>
      <c r="R364" s="402">
        <v>0</v>
      </c>
      <c r="S364" s="402">
        <v>0</v>
      </c>
      <c r="T364" s="402">
        <v>0</v>
      </c>
      <c r="U364" s="402">
        <v>0</v>
      </c>
      <c r="V364" s="402">
        <v>-214868.89039499999</v>
      </c>
      <c r="W364" s="402">
        <v>-215368.89039499999</v>
      </c>
      <c r="X364" s="402">
        <v>-214868.89039499999</v>
      </c>
      <c r="Y364" s="402">
        <v>-215368.89039499999</v>
      </c>
      <c r="Z364" s="402">
        <v>-215368.89039499999</v>
      </c>
      <c r="AA364" s="402">
        <v>-1075844.4519750001</v>
      </c>
    </row>
    <row r="365" spans="10:27" ht="15" customHeight="1" x14ac:dyDescent="0.25">
      <c r="J365" s="400" t="s">
        <v>336</v>
      </c>
      <c r="K365" s="401" t="s">
        <v>995</v>
      </c>
      <c r="L365" s="402" t="s">
        <v>996</v>
      </c>
      <c r="M365" s="402">
        <v>-1938476.15</v>
      </c>
      <c r="N365" s="402">
        <v>0</v>
      </c>
      <c r="O365" s="402">
        <v>0</v>
      </c>
      <c r="P365" s="402">
        <v>0</v>
      </c>
      <c r="Q365" s="402">
        <v>0</v>
      </c>
      <c r="R365" s="402">
        <v>0</v>
      </c>
      <c r="S365" s="402">
        <v>0</v>
      </c>
      <c r="T365" s="402">
        <v>0</v>
      </c>
      <c r="U365" s="402">
        <v>0</v>
      </c>
      <c r="V365" s="402">
        <v>-379863.23</v>
      </c>
      <c r="W365" s="402">
        <v>-394563.23</v>
      </c>
      <c r="X365" s="402">
        <v>-395813.23</v>
      </c>
      <c r="Y365" s="402">
        <v>-388273.23</v>
      </c>
      <c r="Z365" s="402">
        <v>-379963.23</v>
      </c>
      <c r="AA365" s="402">
        <v>-1938476.15</v>
      </c>
    </row>
    <row r="366" spans="10:27" ht="15" customHeight="1" x14ac:dyDescent="0.25">
      <c r="J366" s="400" t="s">
        <v>336</v>
      </c>
      <c r="K366" s="401" t="s">
        <v>997</v>
      </c>
      <c r="L366" s="402" t="s">
        <v>998</v>
      </c>
      <c r="M366" s="402">
        <v>29790</v>
      </c>
      <c r="N366" s="402">
        <v>0</v>
      </c>
      <c r="O366" s="402">
        <v>0</v>
      </c>
      <c r="P366" s="402">
        <v>0</v>
      </c>
      <c r="Q366" s="402">
        <v>0</v>
      </c>
      <c r="R366" s="402">
        <v>0</v>
      </c>
      <c r="S366" s="402">
        <v>0</v>
      </c>
      <c r="T366" s="402">
        <v>0</v>
      </c>
      <c r="U366" s="402">
        <v>0</v>
      </c>
      <c r="V366" s="402">
        <v>5958</v>
      </c>
      <c r="W366" s="402">
        <v>5958</v>
      </c>
      <c r="X366" s="402">
        <v>5958</v>
      </c>
      <c r="Y366" s="402">
        <v>5958</v>
      </c>
      <c r="Z366" s="402">
        <v>5958</v>
      </c>
      <c r="AA366" s="402">
        <v>29790</v>
      </c>
    </row>
    <row r="367" spans="10:27" ht="15" customHeight="1" x14ac:dyDescent="0.25">
      <c r="J367" s="400" t="s">
        <v>336</v>
      </c>
      <c r="K367" s="401" t="s">
        <v>999</v>
      </c>
      <c r="L367" s="402" t="s">
        <v>1000</v>
      </c>
      <c r="M367" s="402">
        <v>137088.35</v>
      </c>
      <c r="N367" s="402">
        <v>0</v>
      </c>
      <c r="O367" s="402">
        <v>0</v>
      </c>
      <c r="P367" s="402">
        <v>0</v>
      </c>
      <c r="Q367" s="402">
        <v>0</v>
      </c>
      <c r="R367" s="402">
        <v>0</v>
      </c>
      <c r="S367" s="402">
        <v>0</v>
      </c>
      <c r="T367" s="402">
        <v>0</v>
      </c>
      <c r="U367" s="402">
        <v>0</v>
      </c>
      <c r="V367" s="402">
        <v>-12582.33</v>
      </c>
      <c r="W367" s="402">
        <v>-12582.33</v>
      </c>
      <c r="X367" s="402">
        <v>-12582.33</v>
      </c>
      <c r="Y367" s="402">
        <v>-12582.33</v>
      </c>
      <c r="Z367" s="402">
        <v>187417.67</v>
      </c>
      <c r="AA367" s="402">
        <v>137088.35</v>
      </c>
    </row>
    <row r="368" spans="10:27" ht="15" customHeight="1" x14ac:dyDescent="0.2">
      <c r="J368" s="392" t="s">
        <v>336</v>
      </c>
      <c r="K368" s="399" t="s">
        <v>1001</v>
      </c>
      <c r="L368" s="392" t="s">
        <v>1002</v>
      </c>
      <c r="M368" s="393">
        <v>140980378.82846671</v>
      </c>
      <c r="N368" s="393">
        <v>34646038.728650801</v>
      </c>
      <c r="O368" s="393">
        <v>2590721.13</v>
      </c>
      <c r="P368" s="393">
        <v>2816981.44</v>
      </c>
      <c r="Q368" s="393">
        <v>2365218.46</v>
      </c>
      <c r="R368" s="393">
        <v>13343418.48</v>
      </c>
      <c r="S368" s="393">
        <v>14308695.77</v>
      </c>
      <c r="T368" s="393">
        <v>14817692.98</v>
      </c>
      <c r="U368" s="393">
        <v>17212722.43</v>
      </c>
      <c r="V368" s="393">
        <v>16350284.82</v>
      </c>
      <c r="W368" s="393">
        <v>16565000.49</v>
      </c>
      <c r="X368" s="393">
        <v>15299648.68</v>
      </c>
      <c r="Y368" s="393">
        <v>12898645</v>
      </c>
      <c r="Z368" s="393">
        <v>12411349.148466701</v>
      </c>
      <c r="AA368" s="393">
        <v>140980378.82846671</v>
      </c>
    </row>
    <row r="369" spans="10:27" ht="15" customHeight="1" x14ac:dyDescent="0.25">
      <c r="J369" s="400" t="s">
        <v>336</v>
      </c>
      <c r="K369" s="401" t="s">
        <v>1003</v>
      </c>
      <c r="L369" s="402" t="s">
        <v>1004</v>
      </c>
      <c r="M369" s="402">
        <v>47539427.880000003</v>
      </c>
      <c r="N369" s="402">
        <v>0</v>
      </c>
      <c r="O369" s="402">
        <v>0</v>
      </c>
      <c r="P369" s="402">
        <v>0</v>
      </c>
      <c r="Q369" s="402">
        <v>0</v>
      </c>
      <c r="R369" s="402">
        <v>10173889.029999999</v>
      </c>
      <c r="S369" s="402">
        <v>10884439.75</v>
      </c>
      <c r="T369" s="402">
        <v>12212305.859999999</v>
      </c>
      <c r="U369" s="402">
        <v>14268793.24</v>
      </c>
      <c r="V369" s="402">
        <v>0</v>
      </c>
      <c r="W369" s="402">
        <v>0</v>
      </c>
      <c r="X369" s="402">
        <v>0</v>
      </c>
      <c r="Y369" s="402">
        <v>0</v>
      </c>
      <c r="Z369" s="402">
        <v>0</v>
      </c>
      <c r="AA369" s="402">
        <v>47539427.880000003</v>
      </c>
    </row>
    <row r="370" spans="10:27" ht="15" customHeight="1" x14ac:dyDescent="0.25">
      <c r="J370" s="400" t="s">
        <v>336</v>
      </c>
      <c r="K370" s="401" t="s">
        <v>1005</v>
      </c>
      <c r="L370" s="402" t="s">
        <v>1006</v>
      </c>
      <c r="M370" s="402">
        <v>-144584.6</v>
      </c>
      <c r="N370" s="402">
        <v>0</v>
      </c>
      <c r="O370" s="402">
        <v>-146418.26999999999</v>
      </c>
      <c r="P370" s="402">
        <v>0</v>
      </c>
      <c r="Q370" s="402">
        <v>0</v>
      </c>
      <c r="R370" s="402">
        <v>916.67</v>
      </c>
      <c r="S370" s="402">
        <v>0</v>
      </c>
      <c r="T370" s="402">
        <v>0</v>
      </c>
      <c r="U370" s="402">
        <v>917</v>
      </c>
      <c r="V370" s="402">
        <v>0</v>
      </c>
      <c r="W370" s="402">
        <v>0</v>
      </c>
      <c r="X370" s="402">
        <v>0</v>
      </c>
      <c r="Y370" s="402">
        <v>0</v>
      </c>
      <c r="Z370" s="402">
        <v>0</v>
      </c>
      <c r="AA370" s="402">
        <v>-144584.6</v>
      </c>
    </row>
    <row r="371" spans="10:27" ht="15" customHeight="1" x14ac:dyDescent="0.25">
      <c r="J371" s="400" t="s">
        <v>336</v>
      </c>
      <c r="K371" s="401" t="s">
        <v>1007</v>
      </c>
      <c r="L371" s="402" t="s">
        <v>1008</v>
      </c>
      <c r="M371" s="402">
        <v>19403.72</v>
      </c>
      <c r="N371" s="402">
        <v>0</v>
      </c>
      <c r="O371" s="402">
        <v>2771.96</v>
      </c>
      <c r="P371" s="402">
        <v>2771.96</v>
      </c>
      <c r="Q371" s="402">
        <v>2771.96</v>
      </c>
      <c r="R371" s="402">
        <v>2771.96</v>
      </c>
      <c r="S371" s="402">
        <v>2771.96</v>
      </c>
      <c r="T371" s="402">
        <v>2771.96</v>
      </c>
      <c r="U371" s="402">
        <v>2771.96</v>
      </c>
      <c r="V371" s="402">
        <v>0</v>
      </c>
      <c r="W371" s="402">
        <v>0</v>
      </c>
      <c r="X371" s="402">
        <v>0</v>
      </c>
      <c r="Y371" s="402">
        <v>0</v>
      </c>
      <c r="Z371" s="402">
        <v>0</v>
      </c>
      <c r="AA371" s="402">
        <v>19403.72</v>
      </c>
    </row>
    <row r="372" spans="10:27" ht="15" customHeight="1" x14ac:dyDescent="0.25">
      <c r="J372" s="400" t="s">
        <v>336</v>
      </c>
      <c r="K372" s="401" t="s">
        <v>1009</v>
      </c>
      <c r="L372" s="402" t="s">
        <v>1010</v>
      </c>
      <c r="M372" s="402">
        <v>180360.85</v>
      </c>
      <c r="N372" s="402">
        <v>0</v>
      </c>
      <c r="O372" s="402">
        <v>25765.87</v>
      </c>
      <c r="P372" s="402">
        <v>25765.83</v>
      </c>
      <c r="Q372" s="402">
        <v>25765.83</v>
      </c>
      <c r="R372" s="402">
        <v>25765.83</v>
      </c>
      <c r="S372" s="402">
        <v>25765.83</v>
      </c>
      <c r="T372" s="402">
        <v>25765.83</v>
      </c>
      <c r="U372" s="402">
        <v>25765.83</v>
      </c>
      <c r="V372" s="402">
        <v>0</v>
      </c>
      <c r="W372" s="402">
        <v>0</v>
      </c>
      <c r="X372" s="402">
        <v>0</v>
      </c>
      <c r="Y372" s="402">
        <v>0</v>
      </c>
      <c r="Z372" s="402">
        <v>0</v>
      </c>
      <c r="AA372" s="402">
        <v>180360.85</v>
      </c>
    </row>
    <row r="373" spans="10:27" ht="15" customHeight="1" x14ac:dyDescent="0.25">
      <c r="J373" s="400" t="s">
        <v>336</v>
      </c>
      <c r="K373" s="401" t="s">
        <v>1011</v>
      </c>
      <c r="L373" s="402" t="s">
        <v>1012</v>
      </c>
      <c r="M373" s="402">
        <v>26668.6</v>
      </c>
      <c r="N373" s="402">
        <v>0</v>
      </c>
      <c r="O373" s="402">
        <v>3599.12</v>
      </c>
      <c r="P373" s="402">
        <v>3599.12</v>
      </c>
      <c r="Q373" s="402">
        <v>3599.12</v>
      </c>
      <c r="R373" s="402">
        <v>3599.12</v>
      </c>
      <c r="S373" s="402">
        <v>3599.12</v>
      </c>
      <c r="T373" s="402">
        <v>4336.5</v>
      </c>
      <c r="U373" s="402">
        <v>4336.5</v>
      </c>
      <c r="V373" s="402">
        <v>0</v>
      </c>
      <c r="W373" s="402">
        <v>0</v>
      </c>
      <c r="X373" s="402">
        <v>0</v>
      </c>
      <c r="Y373" s="402">
        <v>0</v>
      </c>
      <c r="Z373" s="402">
        <v>0</v>
      </c>
      <c r="AA373" s="402">
        <v>26668.6</v>
      </c>
    </row>
    <row r="374" spans="10:27" ht="15" customHeight="1" x14ac:dyDescent="0.25">
      <c r="J374" s="400" t="s">
        <v>336</v>
      </c>
      <c r="K374" s="401" t="s">
        <v>1013</v>
      </c>
      <c r="L374" s="402" t="s">
        <v>1014</v>
      </c>
      <c r="M374" s="402">
        <v>383958.98</v>
      </c>
      <c r="N374" s="402">
        <v>0</v>
      </c>
      <c r="O374" s="402">
        <v>47253</v>
      </c>
      <c r="P374" s="402">
        <v>47253</v>
      </c>
      <c r="Q374" s="402">
        <v>47253</v>
      </c>
      <c r="R374" s="402">
        <v>47253</v>
      </c>
      <c r="S374" s="402">
        <v>47253</v>
      </c>
      <c r="T374" s="402">
        <v>74000</v>
      </c>
      <c r="U374" s="402">
        <v>73693.98</v>
      </c>
      <c r="V374" s="402">
        <v>0</v>
      </c>
      <c r="W374" s="402">
        <v>0</v>
      </c>
      <c r="X374" s="402">
        <v>0</v>
      </c>
      <c r="Y374" s="402">
        <v>0</v>
      </c>
      <c r="Z374" s="402">
        <v>0</v>
      </c>
      <c r="AA374" s="402">
        <v>383958.98</v>
      </c>
    </row>
    <row r="375" spans="10:27" ht="15" customHeight="1" x14ac:dyDescent="0.25">
      <c r="J375" s="400" t="s">
        <v>336</v>
      </c>
      <c r="K375" s="401" t="s">
        <v>1015</v>
      </c>
      <c r="L375" s="402" t="s">
        <v>1016</v>
      </c>
      <c r="M375" s="402">
        <v>8799565.3699999992</v>
      </c>
      <c r="N375" s="402">
        <v>0</v>
      </c>
      <c r="O375" s="402">
        <v>1245396.22</v>
      </c>
      <c r="P375" s="402">
        <v>1246102.3700000001</v>
      </c>
      <c r="Q375" s="402">
        <v>1246102.3700000001</v>
      </c>
      <c r="R375" s="402">
        <v>1246102.3700000001</v>
      </c>
      <c r="S375" s="402">
        <v>1246102.3700000001</v>
      </c>
      <c r="T375" s="402">
        <v>1284971.6299999999</v>
      </c>
      <c r="U375" s="402">
        <v>1284788.04</v>
      </c>
      <c r="V375" s="402">
        <v>0</v>
      </c>
      <c r="W375" s="402">
        <v>0</v>
      </c>
      <c r="X375" s="402">
        <v>0</v>
      </c>
      <c r="Y375" s="402">
        <v>0</v>
      </c>
      <c r="Z375" s="402">
        <v>0</v>
      </c>
      <c r="AA375" s="402">
        <v>8799565.3699999992</v>
      </c>
    </row>
    <row r="376" spans="10:27" ht="15" customHeight="1" x14ac:dyDescent="0.25">
      <c r="J376" s="400" t="s">
        <v>336</v>
      </c>
      <c r="K376" s="401" t="s">
        <v>1017</v>
      </c>
      <c r="L376" s="402" t="s">
        <v>1018</v>
      </c>
      <c r="M376" s="402">
        <v>25019.75</v>
      </c>
      <c r="N376" s="402">
        <v>0</v>
      </c>
      <c r="O376" s="402">
        <v>3574.25</v>
      </c>
      <c r="P376" s="402">
        <v>3574.25</v>
      </c>
      <c r="Q376" s="402">
        <v>3574.25</v>
      </c>
      <c r="R376" s="402">
        <v>3574.25</v>
      </c>
      <c r="S376" s="402">
        <v>3574.25</v>
      </c>
      <c r="T376" s="402">
        <v>3574.25</v>
      </c>
      <c r="U376" s="402">
        <v>3574.25</v>
      </c>
      <c r="V376" s="402">
        <v>0</v>
      </c>
      <c r="W376" s="402">
        <v>0</v>
      </c>
      <c r="X376" s="402">
        <v>0</v>
      </c>
      <c r="Y376" s="402">
        <v>0</v>
      </c>
      <c r="Z376" s="402">
        <v>0</v>
      </c>
      <c r="AA376" s="402">
        <v>25019.75</v>
      </c>
    </row>
    <row r="377" spans="10:27" ht="15" customHeight="1" x14ac:dyDescent="0.25">
      <c r="J377" s="400" t="s">
        <v>336</v>
      </c>
      <c r="K377" s="401" t="s">
        <v>1019</v>
      </c>
      <c r="L377" s="402" t="s">
        <v>1020</v>
      </c>
      <c r="M377" s="402">
        <v>1638203.84</v>
      </c>
      <c r="N377" s="402">
        <v>0</v>
      </c>
      <c r="O377" s="402">
        <v>327473</v>
      </c>
      <c r="P377" s="402">
        <v>327473</v>
      </c>
      <c r="Q377" s="402">
        <v>-221502.31</v>
      </c>
      <c r="R377" s="402">
        <v>327473</v>
      </c>
      <c r="S377" s="402">
        <v>327473</v>
      </c>
      <c r="T377" s="402">
        <v>222341.15</v>
      </c>
      <c r="U377" s="402">
        <v>327473</v>
      </c>
      <c r="V377" s="402">
        <v>0</v>
      </c>
      <c r="W377" s="402">
        <v>0</v>
      </c>
      <c r="X377" s="402">
        <v>0</v>
      </c>
      <c r="Y377" s="402">
        <v>0</v>
      </c>
      <c r="Z377" s="402">
        <v>0</v>
      </c>
      <c r="AA377" s="402">
        <v>1638203.84</v>
      </c>
    </row>
    <row r="378" spans="10:27" ht="15" customHeight="1" x14ac:dyDescent="0.25">
      <c r="J378" s="400" t="s">
        <v>336</v>
      </c>
      <c r="K378" s="401" t="s">
        <v>1021</v>
      </c>
      <c r="L378" s="402" t="s">
        <v>1022</v>
      </c>
      <c r="M378" s="402">
        <v>35891.65</v>
      </c>
      <c r="N378" s="402">
        <v>0</v>
      </c>
      <c r="O378" s="402">
        <v>4898.33</v>
      </c>
      <c r="P378" s="402">
        <v>4898.33</v>
      </c>
      <c r="Q378" s="402">
        <v>4898.33</v>
      </c>
      <c r="R378" s="402">
        <v>4898.33</v>
      </c>
      <c r="S378" s="402">
        <v>4898.33</v>
      </c>
      <c r="T378" s="402">
        <v>5400</v>
      </c>
      <c r="U378" s="402">
        <v>6000</v>
      </c>
      <c r="V378" s="402">
        <v>0</v>
      </c>
      <c r="W378" s="402">
        <v>0</v>
      </c>
      <c r="X378" s="402">
        <v>0</v>
      </c>
      <c r="Y378" s="402">
        <v>0</v>
      </c>
      <c r="Z378" s="402">
        <v>0</v>
      </c>
      <c r="AA378" s="402">
        <v>35891.65</v>
      </c>
    </row>
    <row r="379" spans="10:27" ht="15" customHeight="1" x14ac:dyDescent="0.25">
      <c r="J379" s="400" t="s">
        <v>336</v>
      </c>
      <c r="K379" s="401" t="s">
        <v>1023</v>
      </c>
      <c r="L379" s="402" t="s">
        <v>1024</v>
      </c>
      <c r="M379" s="402">
        <v>6598674.2300000004</v>
      </c>
      <c r="N379" s="402">
        <v>0</v>
      </c>
      <c r="O379" s="402">
        <v>781934.9</v>
      </c>
      <c r="P379" s="402">
        <v>849147.52</v>
      </c>
      <c r="Q379" s="402">
        <v>893461.74</v>
      </c>
      <c r="R379" s="402">
        <v>950333.87</v>
      </c>
      <c r="S379" s="402">
        <v>1464403.68</v>
      </c>
      <c r="T379" s="402">
        <v>780834.23</v>
      </c>
      <c r="U379" s="402">
        <v>878558.29</v>
      </c>
      <c r="V379" s="402">
        <v>0</v>
      </c>
      <c r="W379" s="402">
        <v>0</v>
      </c>
      <c r="X379" s="402">
        <v>0</v>
      </c>
      <c r="Y379" s="402">
        <v>0</v>
      </c>
      <c r="Z379" s="402">
        <v>0</v>
      </c>
      <c r="AA379" s="402">
        <v>6598674.2300000004</v>
      </c>
    </row>
    <row r="380" spans="10:27" ht="15" customHeight="1" x14ac:dyDescent="0.25">
      <c r="J380" s="400" t="s">
        <v>336</v>
      </c>
      <c r="K380" s="401" t="s">
        <v>1025</v>
      </c>
      <c r="L380" s="402" t="s">
        <v>1026</v>
      </c>
      <c r="M380" s="402">
        <v>140924.45000000001</v>
      </c>
      <c r="N380" s="402">
        <v>0</v>
      </c>
      <c r="O380" s="402">
        <v>20124.490000000002</v>
      </c>
      <c r="P380" s="402">
        <v>20124.490000000002</v>
      </c>
      <c r="Q380" s="402">
        <v>20124.490000000002</v>
      </c>
      <c r="R380" s="402">
        <v>20124.490000000002</v>
      </c>
      <c r="S380" s="402">
        <v>20124.490000000002</v>
      </c>
      <c r="T380" s="402">
        <v>22150</v>
      </c>
      <c r="U380" s="402">
        <v>18152</v>
      </c>
      <c r="V380" s="402">
        <v>0</v>
      </c>
      <c r="W380" s="402">
        <v>0</v>
      </c>
      <c r="X380" s="402">
        <v>0</v>
      </c>
      <c r="Y380" s="402">
        <v>0</v>
      </c>
      <c r="Z380" s="402">
        <v>0</v>
      </c>
      <c r="AA380" s="402">
        <v>140924.45000000001</v>
      </c>
    </row>
    <row r="381" spans="10:27" ht="15" customHeight="1" x14ac:dyDescent="0.25">
      <c r="J381" s="400" t="s">
        <v>336</v>
      </c>
      <c r="K381" s="401" t="s">
        <v>1027</v>
      </c>
      <c r="L381" s="402" t="s">
        <v>1028</v>
      </c>
      <c r="M381" s="402">
        <v>2501.92</v>
      </c>
      <c r="N381" s="402">
        <v>0</v>
      </c>
      <c r="O381" s="402">
        <v>357.4</v>
      </c>
      <c r="P381" s="402">
        <v>357.42</v>
      </c>
      <c r="Q381" s="402">
        <v>357.42</v>
      </c>
      <c r="R381" s="402">
        <v>357.42</v>
      </c>
      <c r="S381" s="402">
        <v>357.42</v>
      </c>
      <c r="T381" s="402">
        <v>357.42</v>
      </c>
      <c r="U381" s="402">
        <v>357.42</v>
      </c>
      <c r="V381" s="402">
        <v>0</v>
      </c>
      <c r="W381" s="402">
        <v>0</v>
      </c>
      <c r="X381" s="402">
        <v>0</v>
      </c>
      <c r="Y381" s="402">
        <v>0</v>
      </c>
      <c r="Z381" s="402">
        <v>0</v>
      </c>
      <c r="AA381" s="402">
        <v>2501.92</v>
      </c>
    </row>
    <row r="382" spans="10:27" ht="15" customHeight="1" x14ac:dyDescent="0.25">
      <c r="J382" s="400" t="s">
        <v>336</v>
      </c>
      <c r="K382" s="401" t="s">
        <v>1029</v>
      </c>
      <c r="L382" s="402" t="s">
        <v>1030</v>
      </c>
      <c r="M382" s="402">
        <v>-600</v>
      </c>
      <c r="N382" s="402">
        <v>0</v>
      </c>
      <c r="O382" s="402">
        <v>0</v>
      </c>
      <c r="P382" s="402">
        <v>0</v>
      </c>
      <c r="Q382" s="402">
        <v>0</v>
      </c>
      <c r="R382" s="402">
        <v>100</v>
      </c>
      <c r="S382" s="402">
        <v>-700</v>
      </c>
      <c r="T382" s="402">
        <v>0</v>
      </c>
      <c r="U382" s="402">
        <v>0</v>
      </c>
      <c r="V382" s="402">
        <v>0</v>
      </c>
      <c r="W382" s="402">
        <v>0</v>
      </c>
      <c r="X382" s="402">
        <v>0</v>
      </c>
      <c r="Y382" s="402">
        <v>0</v>
      </c>
      <c r="Z382" s="402">
        <v>0</v>
      </c>
      <c r="AA382" s="402">
        <v>-600</v>
      </c>
    </row>
    <row r="383" spans="10:27" ht="15" customHeight="1" x14ac:dyDescent="0.25">
      <c r="J383" s="400" t="s">
        <v>336</v>
      </c>
      <c r="K383" s="401" t="s">
        <v>1031</v>
      </c>
      <c r="L383" s="402" t="s">
        <v>1032</v>
      </c>
      <c r="M383" s="402">
        <v>747.17</v>
      </c>
      <c r="N383" s="402">
        <v>0</v>
      </c>
      <c r="O383" s="402">
        <v>0</v>
      </c>
      <c r="P383" s="402">
        <v>0</v>
      </c>
      <c r="Q383" s="402">
        <v>272.60000000000002</v>
      </c>
      <c r="R383" s="402">
        <v>154.41</v>
      </c>
      <c r="S383" s="402">
        <v>106.72</v>
      </c>
      <c r="T383" s="402">
        <v>106.72</v>
      </c>
      <c r="U383" s="402">
        <v>106.72</v>
      </c>
      <c r="V383" s="402">
        <v>0</v>
      </c>
      <c r="W383" s="402">
        <v>0</v>
      </c>
      <c r="X383" s="402">
        <v>0</v>
      </c>
      <c r="Y383" s="402">
        <v>0</v>
      </c>
      <c r="Z383" s="402">
        <v>0</v>
      </c>
      <c r="AA383" s="402">
        <v>747.17</v>
      </c>
    </row>
    <row r="384" spans="10:27" ht="15" customHeight="1" x14ac:dyDescent="0.25">
      <c r="J384" s="400" t="s">
        <v>336</v>
      </c>
      <c r="K384" s="401" t="s">
        <v>1033</v>
      </c>
      <c r="L384" s="402" t="s">
        <v>1034</v>
      </c>
      <c r="M384" s="402">
        <v>316326.86</v>
      </c>
      <c r="N384" s="402">
        <v>0</v>
      </c>
      <c r="O384" s="402">
        <v>43812.47</v>
      </c>
      <c r="P384" s="402">
        <v>43812.47</v>
      </c>
      <c r="Q384" s="402">
        <v>43812.47</v>
      </c>
      <c r="R384" s="402">
        <v>58580.98</v>
      </c>
      <c r="S384" s="402">
        <v>43812.47</v>
      </c>
      <c r="T384" s="402">
        <v>48200</v>
      </c>
      <c r="U384" s="402">
        <v>34296</v>
      </c>
      <c r="V384" s="402">
        <v>0</v>
      </c>
      <c r="W384" s="402">
        <v>0</v>
      </c>
      <c r="X384" s="402">
        <v>0</v>
      </c>
      <c r="Y384" s="402">
        <v>0</v>
      </c>
      <c r="Z384" s="402">
        <v>0</v>
      </c>
      <c r="AA384" s="402">
        <v>316326.86</v>
      </c>
    </row>
    <row r="385" spans="10:27" ht="15" customHeight="1" x14ac:dyDescent="0.25">
      <c r="J385" s="400" t="s">
        <v>336</v>
      </c>
      <c r="K385" s="401" t="s">
        <v>1035</v>
      </c>
      <c r="L385" s="402" t="s">
        <v>1036</v>
      </c>
      <c r="M385" s="402">
        <v>1641220.08</v>
      </c>
      <c r="N385" s="402">
        <v>0</v>
      </c>
      <c r="O385" s="402">
        <v>200551.26</v>
      </c>
      <c r="P385" s="402">
        <v>200551.26</v>
      </c>
      <c r="Q385" s="402">
        <v>258333.37</v>
      </c>
      <c r="R385" s="402">
        <v>441666.63</v>
      </c>
      <c r="S385" s="402">
        <v>200000</v>
      </c>
      <c r="T385" s="402">
        <v>92094.05</v>
      </c>
      <c r="U385" s="402">
        <v>248023.51</v>
      </c>
      <c r="V385" s="402">
        <v>0</v>
      </c>
      <c r="W385" s="402">
        <v>0</v>
      </c>
      <c r="X385" s="402">
        <v>0</v>
      </c>
      <c r="Y385" s="402">
        <v>0</v>
      </c>
      <c r="Z385" s="402">
        <v>0</v>
      </c>
      <c r="AA385" s="402">
        <v>1641220.08</v>
      </c>
    </row>
    <row r="386" spans="10:27" ht="15" customHeight="1" x14ac:dyDescent="0.25">
      <c r="J386" s="400" t="s">
        <v>336</v>
      </c>
      <c r="K386" s="401" t="s">
        <v>1037</v>
      </c>
      <c r="L386" s="402" t="s">
        <v>1038</v>
      </c>
      <c r="M386" s="402">
        <v>285114.69</v>
      </c>
      <c r="N386" s="402">
        <v>0</v>
      </c>
      <c r="O386" s="402">
        <v>29627.13</v>
      </c>
      <c r="P386" s="402">
        <v>41550.42</v>
      </c>
      <c r="Q386" s="402">
        <v>36393.82</v>
      </c>
      <c r="R386" s="402">
        <v>35857.120000000003</v>
      </c>
      <c r="S386" s="402">
        <v>34713.379999999997</v>
      </c>
      <c r="T386" s="402">
        <v>38483.379999999997</v>
      </c>
      <c r="U386" s="402">
        <v>68489.440000000002</v>
      </c>
      <c r="V386" s="402">
        <v>0</v>
      </c>
      <c r="W386" s="402">
        <v>0</v>
      </c>
      <c r="X386" s="402">
        <v>0</v>
      </c>
      <c r="Y386" s="402">
        <v>0</v>
      </c>
      <c r="Z386" s="402">
        <v>0</v>
      </c>
      <c r="AA386" s="402">
        <v>285114.69</v>
      </c>
    </row>
    <row r="387" spans="10:27" ht="15" customHeight="1" x14ac:dyDescent="0.25">
      <c r="J387" s="400" t="s">
        <v>336</v>
      </c>
      <c r="K387" s="401" t="s">
        <v>1039</v>
      </c>
      <c r="L387" s="402" t="s">
        <v>1040</v>
      </c>
      <c r="M387" s="402">
        <v>-33374.75</v>
      </c>
      <c r="N387" s="402">
        <v>0</v>
      </c>
      <c r="O387" s="402">
        <v>0</v>
      </c>
      <c r="P387" s="402">
        <v>0</v>
      </c>
      <c r="Q387" s="402">
        <v>0</v>
      </c>
      <c r="R387" s="402">
        <v>0</v>
      </c>
      <c r="S387" s="402">
        <v>0</v>
      </c>
      <c r="T387" s="402">
        <v>0</v>
      </c>
      <c r="U387" s="402">
        <v>-33374.75</v>
      </c>
      <c r="V387" s="402">
        <v>0</v>
      </c>
      <c r="W387" s="402">
        <v>0</v>
      </c>
      <c r="X387" s="402">
        <v>0</v>
      </c>
      <c r="Y387" s="402">
        <v>0</v>
      </c>
      <c r="Z387" s="402">
        <v>0</v>
      </c>
      <c r="AA387" s="402">
        <v>-33374.75</v>
      </c>
    </row>
    <row r="388" spans="10:27" ht="15" customHeight="1" x14ac:dyDescent="0.25">
      <c r="J388" s="400" t="s">
        <v>336</v>
      </c>
      <c r="K388" s="401" t="s">
        <v>1041</v>
      </c>
      <c r="L388" s="402" t="s">
        <v>1042</v>
      </c>
      <c r="M388" s="402">
        <v>58244923.600000001</v>
      </c>
      <c r="N388" s="402">
        <v>0</v>
      </c>
      <c r="O388" s="402">
        <v>0</v>
      </c>
      <c r="P388" s="402">
        <v>0</v>
      </c>
      <c r="Q388" s="402">
        <v>0</v>
      </c>
      <c r="R388" s="402">
        <v>0</v>
      </c>
      <c r="S388" s="402">
        <v>0</v>
      </c>
      <c r="T388" s="402">
        <v>0</v>
      </c>
      <c r="U388" s="402">
        <v>0</v>
      </c>
      <c r="V388" s="402">
        <v>13277800.42</v>
      </c>
      <c r="W388" s="402">
        <v>13597829.01</v>
      </c>
      <c r="X388" s="402">
        <v>12332477.199999999</v>
      </c>
      <c r="Y388" s="402">
        <v>9931473.5199999996</v>
      </c>
      <c r="Z388" s="402">
        <v>9105343.4499999993</v>
      </c>
      <c r="AA388" s="402">
        <v>58244923.600000001</v>
      </c>
    </row>
    <row r="389" spans="10:27" ht="15" customHeight="1" x14ac:dyDescent="0.25">
      <c r="J389" s="400" t="s">
        <v>336</v>
      </c>
      <c r="K389" s="401" t="s">
        <v>1043</v>
      </c>
      <c r="L389" s="402" t="s">
        <v>1044</v>
      </c>
      <c r="M389" s="402">
        <v>541905.49179999996</v>
      </c>
      <c r="N389" s="402">
        <v>541905.49179999996</v>
      </c>
      <c r="O389" s="402">
        <v>0</v>
      </c>
      <c r="P389" s="402">
        <v>0</v>
      </c>
      <c r="Q389" s="402">
        <v>0</v>
      </c>
      <c r="R389" s="402">
        <v>0</v>
      </c>
      <c r="S389" s="402">
        <v>0</v>
      </c>
      <c r="T389" s="402">
        <v>0</v>
      </c>
      <c r="U389" s="402">
        <v>0</v>
      </c>
      <c r="V389" s="402">
        <v>0</v>
      </c>
      <c r="W389" s="402">
        <v>0</v>
      </c>
      <c r="X389" s="402">
        <v>0</v>
      </c>
      <c r="Y389" s="402">
        <v>0</v>
      </c>
      <c r="Z389" s="402">
        <v>541905.49179999996</v>
      </c>
      <c r="AA389" s="402">
        <v>541905.49179999996</v>
      </c>
    </row>
    <row r="390" spans="10:27" ht="15" customHeight="1" x14ac:dyDescent="0.25">
      <c r="J390" s="400" t="s">
        <v>336</v>
      </c>
      <c r="K390" s="401" t="s">
        <v>1045</v>
      </c>
      <c r="L390" s="402" t="s">
        <v>1046</v>
      </c>
      <c r="M390" s="402">
        <v>13859.8</v>
      </c>
      <c r="N390" s="402">
        <v>50971.53</v>
      </c>
      <c r="O390" s="402">
        <v>0</v>
      </c>
      <c r="P390" s="402">
        <v>0</v>
      </c>
      <c r="Q390" s="402">
        <v>0</v>
      </c>
      <c r="R390" s="402">
        <v>0</v>
      </c>
      <c r="S390" s="402">
        <v>0</v>
      </c>
      <c r="T390" s="402">
        <v>0</v>
      </c>
      <c r="U390" s="402">
        <v>0</v>
      </c>
      <c r="V390" s="402">
        <v>2771.96</v>
      </c>
      <c r="W390" s="402">
        <v>2771.96</v>
      </c>
      <c r="X390" s="402">
        <v>2771.96</v>
      </c>
      <c r="Y390" s="402">
        <v>2771.96</v>
      </c>
      <c r="Z390" s="402">
        <v>2771.96</v>
      </c>
      <c r="AA390" s="402">
        <v>13859.8</v>
      </c>
    </row>
    <row r="391" spans="10:27" ht="15" customHeight="1" x14ac:dyDescent="0.25">
      <c r="J391" s="400" t="s">
        <v>336</v>
      </c>
      <c r="K391" s="401" t="s">
        <v>1047</v>
      </c>
      <c r="L391" s="402" t="s">
        <v>1048</v>
      </c>
      <c r="M391" s="402">
        <v>128829.15</v>
      </c>
      <c r="N391" s="402">
        <v>358507.11</v>
      </c>
      <c r="O391" s="402">
        <v>0</v>
      </c>
      <c r="P391" s="402">
        <v>0</v>
      </c>
      <c r="Q391" s="402">
        <v>0</v>
      </c>
      <c r="R391" s="402">
        <v>0</v>
      </c>
      <c r="S391" s="402">
        <v>0</v>
      </c>
      <c r="T391" s="402">
        <v>0</v>
      </c>
      <c r="U391" s="402">
        <v>0</v>
      </c>
      <c r="V391" s="402">
        <v>25765.83</v>
      </c>
      <c r="W391" s="402">
        <v>25765.83</v>
      </c>
      <c r="X391" s="402">
        <v>25765.83</v>
      </c>
      <c r="Y391" s="402">
        <v>25765.83</v>
      </c>
      <c r="Z391" s="402">
        <v>25765.83</v>
      </c>
      <c r="AA391" s="402">
        <v>128829.15</v>
      </c>
    </row>
    <row r="392" spans="10:27" ht="15" customHeight="1" x14ac:dyDescent="0.25">
      <c r="J392" s="400" t="s">
        <v>336</v>
      </c>
      <c r="K392" s="401" t="s">
        <v>1049</v>
      </c>
      <c r="L392" s="402" t="s">
        <v>1050</v>
      </c>
      <c r="M392" s="402">
        <v>21682.5</v>
      </c>
      <c r="N392" s="402">
        <v>55786.33</v>
      </c>
      <c r="O392" s="402">
        <v>0</v>
      </c>
      <c r="P392" s="402">
        <v>0</v>
      </c>
      <c r="Q392" s="402">
        <v>0</v>
      </c>
      <c r="R392" s="402">
        <v>0</v>
      </c>
      <c r="S392" s="402">
        <v>0</v>
      </c>
      <c r="T392" s="402">
        <v>0</v>
      </c>
      <c r="U392" s="402">
        <v>0</v>
      </c>
      <c r="V392" s="402">
        <v>4336.5</v>
      </c>
      <c r="W392" s="402">
        <v>4336.5</v>
      </c>
      <c r="X392" s="402">
        <v>4336.5</v>
      </c>
      <c r="Y392" s="402">
        <v>4336.5</v>
      </c>
      <c r="Z392" s="402">
        <v>4336.5</v>
      </c>
      <c r="AA392" s="402">
        <v>21682.5</v>
      </c>
    </row>
    <row r="393" spans="10:27" ht="15" customHeight="1" x14ac:dyDescent="0.25">
      <c r="J393" s="400" t="s">
        <v>336</v>
      </c>
      <c r="K393" s="401" t="s">
        <v>1051</v>
      </c>
      <c r="L393" s="402" t="s">
        <v>1052</v>
      </c>
      <c r="M393" s="402">
        <v>369235.05</v>
      </c>
      <c r="N393" s="402">
        <v>0</v>
      </c>
      <c r="O393" s="402">
        <v>0</v>
      </c>
      <c r="P393" s="402">
        <v>0</v>
      </c>
      <c r="Q393" s="402">
        <v>0</v>
      </c>
      <c r="R393" s="402">
        <v>0</v>
      </c>
      <c r="S393" s="402">
        <v>0</v>
      </c>
      <c r="T393" s="402">
        <v>0</v>
      </c>
      <c r="U393" s="402">
        <v>0</v>
      </c>
      <c r="V393" s="402">
        <v>73847.009999999995</v>
      </c>
      <c r="W393" s="402">
        <v>73847.009999999995</v>
      </c>
      <c r="X393" s="402">
        <v>73847.009999999995</v>
      </c>
      <c r="Y393" s="402">
        <v>73847.009999999995</v>
      </c>
      <c r="Z393" s="402">
        <v>73847.009999999995</v>
      </c>
      <c r="AA393" s="402">
        <v>369235.05</v>
      </c>
    </row>
    <row r="394" spans="10:27" ht="15" customHeight="1" x14ac:dyDescent="0.25">
      <c r="J394" s="400" t="s">
        <v>336</v>
      </c>
      <c r="K394" s="401" t="s">
        <v>1053</v>
      </c>
      <c r="L394" s="402" t="s">
        <v>1054</v>
      </c>
      <c r="M394" s="402">
        <v>6389731.4299999997</v>
      </c>
      <c r="N394" s="402">
        <v>12036371.74</v>
      </c>
      <c r="O394" s="402">
        <v>0</v>
      </c>
      <c r="P394" s="402">
        <v>0</v>
      </c>
      <c r="Q394" s="402">
        <v>0</v>
      </c>
      <c r="R394" s="402">
        <v>0</v>
      </c>
      <c r="S394" s="402">
        <v>0</v>
      </c>
      <c r="T394" s="402">
        <v>0</v>
      </c>
      <c r="U394" s="402">
        <v>0</v>
      </c>
      <c r="V394" s="402">
        <v>1273418.31</v>
      </c>
      <c r="W394" s="402">
        <v>1279078.28</v>
      </c>
      <c r="X394" s="402">
        <v>1279078.28</v>
      </c>
      <c r="Y394" s="402">
        <v>1279078.28</v>
      </c>
      <c r="Z394" s="402">
        <v>1279078.28</v>
      </c>
      <c r="AA394" s="402">
        <v>6389731.4299999997</v>
      </c>
    </row>
    <row r="395" spans="10:27" ht="15" customHeight="1" x14ac:dyDescent="0.25">
      <c r="J395" s="400" t="s">
        <v>336</v>
      </c>
      <c r="K395" s="401" t="s">
        <v>1055</v>
      </c>
      <c r="L395" s="402" t="s">
        <v>1056</v>
      </c>
      <c r="M395" s="402">
        <v>17871.25</v>
      </c>
      <c r="N395" s="402">
        <v>66926.7</v>
      </c>
      <c r="O395" s="402">
        <v>0</v>
      </c>
      <c r="P395" s="402">
        <v>0</v>
      </c>
      <c r="Q395" s="402">
        <v>0</v>
      </c>
      <c r="R395" s="402">
        <v>0</v>
      </c>
      <c r="S395" s="402">
        <v>0</v>
      </c>
      <c r="T395" s="402">
        <v>0</v>
      </c>
      <c r="U395" s="402">
        <v>0</v>
      </c>
      <c r="V395" s="402">
        <v>3574.25</v>
      </c>
      <c r="W395" s="402">
        <v>3574.25</v>
      </c>
      <c r="X395" s="402">
        <v>3574.25</v>
      </c>
      <c r="Y395" s="402">
        <v>3574.25</v>
      </c>
      <c r="Z395" s="402">
        <v>3574.25</v>
      </c>
      <c r="AA395" s="402">
        <v>17871.25</v>
      </c>
    </row>
    <row r="396" spans="10:27" ht="15" customHeight="1" x14ac:dyDescent="0.25">
      <c r="J396" s="400" t="s">
        <v>336</v>
      </c>
      <c r="K396" s="401" t="s">
        <v>1057</v>
      </c>
      <c r="L396" s="402" t="s">
        <v>1058</v>
      </c>
      <c r="M396" s="402">
        <v>1434225.4166667</v>
      </c>
      <c r="N396" s="402">
        <v>3929681.0000004</v>
      </c>
      <c r="O396" s="402">
        <v>0</v>
      </c>
      <c r="P396" s="402">
        <v>0</v>
      </c>
      <c r="Q396" s="402">
        <v>0</v>
      </c>
      <c r="R396" s="402">
        <v>0</v>
      </c>
      <c r="S396" s="402">
        <v>0</v>
      </c>
      <c r="T396" s="402">
        <v>0</v>
      </c>
      <c r="U396" s="402">
        <v>0</v>
      </c>
      <c r="V396" s="402">
        <v>327473</v>
      </c>
      <c r="W396" s="402">
        <v>327473</v>
      </c>
      <c r="X396" s="402">
        <v>327473</v>
      </c>
      <c r="Y396" s="402">
        <v>327473</v>
      </c>
      <c r="Z396" s="402">
        <v>124333.4166667</v>
      </c>
      <c r="AA396" s="402">
        <v>1434225.4166667</v>
      </c>
    </row>
    <row r="397" spans="10:27" ht="15" customHeight="1" x14ac:dyDescent="0.25">
      <c r="J397" s="400" t="s">
        <v>336</v>
      </c>
      <c r="K397" s="401" t="s">
        <v>1059</v>
      </c>
      <c r="L397" s="402" t="s">
        <v>1060</v>
      </c>
      <c r="M397" s="402">
        <v>40068</v>
      </c>
      <c r="N397" s="402">
        <v>62208.800000000003</v>
      </c>
      <c r="O397" s="402">
        <v>0</v>
      </c>
      <c r="P397" s="402">
        <v>0</v>
      </c>
      <c r="Q397" s="402">
        <v>0</v>
      </c>
      <c r="R397" s="402">
        <v>0</v>
      </c>
      <c r="S397" s="402">
        <v>0</v>
      </c>
      <c r="T397" s="402">
        <v>0</v>
      </c>
      <c r="U397" s="402">
        <v>0</v>
      </c>
      <c r="V397" s="402">
        <v>17172</v>
      </c>
      <c r="W397" s="402">
        <v>5724</v>
      </c>
      <c r="X397" s="402">
        <v>5724</v>
      </c>
      <c r="Y397" s="402">
        <v>5724</v>
      </c>
      <c r="Z397" s="402">
        <v>5724</v>
      </c>
      <c r="AA397" s="402">
        <v>40068</v>
      </c>
    </row>
    <row r="398" spans="10:27" ht="15" customHeight="1" x14ac:dyDescent="0.25">
      <c r="J398" s="400" t="s">
        <v>336</v>
      </c>
      <c r="K398" s="401" t="s">
        <v>1061</v>
      </c>
      <c r="L398" s="402" t="s">
        <v>1062</v>
      </c>
      <c r="M398" s="402">
        <v>4389438.1399999997</v>
      </c>
      <c r="N398" s="402">
        <v>13233379.289999999</v>
      </c>
      <c r="O398" s="402">
        <v>0</v>
      </c>
      <c r="P398" s="402">
        <v>0</v>
      </c>
      <c r="Q398" s="402">
        <v>0</v>
      </c>
      <c r="R398" s="402">
        <v>0</v>
      </c>
      <c r="S398" s="402">
        <v>0</v>
      </c>
      <c r="T398" s="402">
        <v>0</v>
      </c>
      <c r="U398" s="402">
        <v>0</v>
      </c>
      <c r="V398" s="402">
        <v>876546.3</v>
      </c>
      <c r="W398" s="402">
        <v>878222.96</v>
      </c>
      <c r="X398" s="402">
        <v>878222.96</v>
      </c>
      <c r="Y398" s="402">
        <v>878222.96</v>
      </c>
      <c r="Z398" s="402">
        <v>878222.96</v>
      </c>
      <c r="AA398" s="402">
        <v>4389438.1399999997</v>
      </c>
    </row>
    <row r="399" spans="10:27" ht="15" customHeight="1" x14ac:dyDescent="0.25">
      <c r="J399" s="400" t="s">
        <v>336</v>
      </c>
      <c r="K399" s="401" t="s">
        <v>1063</v>
      </c>
      <c r="L399" s="402" t="s">
        <v>1064</v>
      </c>
      <c r="M399" s="402">
        <v>111871.45</v>
      </c>
      <c r="N399" s="402">
        <v>192123.42</v>
      </c>
      <c r="O399" s="402">
        <v>0</v>
      </c>
      <c r="P399" s="402">
        <v>0</v>
      </c>
      <c r="Q399" s="402">
        <v>0</v>
      </c>
      <c r="R399" s="402">
        <v>0</v>
      </c>
      <c r="S399" s="402">
        <v>0</v>
      </c>
      <c r="T399" s="402">
        <v>0</v>
      </c>
      <c r="U399" s="402">
        <v>0</v>
      </c>
      <c r="V399" s="402">
        <v>31373.49</v>
      </c>
      <c r="W399" s="402">
        <v>20124.490000000002</v>
      </c>
      <c r="X399" s="402">
        <v>20124.490000000002</v>
      </c>
      <c r="Y399" s="402">
        <v>20124.490000000002</v>
      </c>
      <c r="Z399" s="402">
        <v>20124.490000000002</v>
      </c>
      <c r="AA399" s="402">
        <v>111871.45</v>
      </c>
    </row>
    <row r="400" spans="10:27" ht="15" customHeight="1" x14ac:dyDescent="0.25">
      <c r="J400" s="400" t="s">
        <v>336</v>
      </c>
      <c r="K400" s="401" t="s">
        <v>1065</v>
      </c>
      <c r="L400" s="402" t="s">
        <v>1066</v>
      </c>
      <c r="M400" s="402">
        <v>1787.1</v>
      </c>
      <c r="N400" s="402">
        <v>5876.54</v>
      </c>
      <c r="O400" s="402">
        <v>0</v>
      </c>
      <c r="P400" s="402">
        <v>0</v>
      </c>
      <c r="Q400" s="402">
        <v>0</v>
      </c>
      <c r="R400" s="402">
        <v>0</v>
      </c>
      <c r="S400" s="402">
        <v>0</v>
      </c>
      <c r="T400" s="402">
        <v>0</v>
      </c>
      <c r="U400" s="402">
        <v>0</v>
      </c>
      <c r="V400" s="402">
        <v>357.42</v>
      </c>
      <c r="W400" s="402">
        <v>357.42</v>
      </c>
      <c r="X400" s="402">
        <v>357.42</v>
      </c>
      <c r="Y400" s="402">
        <v>357.42</v>
      </c>
      <c r="Z400" s="402">
        <v>357.42</v>
      </c>
      <c r="AA400" s="402">
        <v>1787.1</v>
      </c>
    </row>
    <row r="401" spans="10:27" ht="15" customHeight="1" x14ac:dyDescent="0.25">
      <c r="J401" s="400" t="s">
        <v>336</v>
      </c>
      <c r="K401" s="401" t="s">
        <v>1067</v>
      </c>
      <c r="L401" s="402" t="s">
        <v>1068</v>
      </c>
      <c r="M401" s="402">
        <v>1008.37</v>
      </c>
      <c r="N401" s="402">
        <v>1100.0000004000001</v>
      </c>
      <c r="O401" s="402">
        <v>0</v>
      </c>
      <c r="P401" s="402">
        <v>0</v>
      </c>
      <c r="Q401" s="402">
        <v>0</v>
      </c>
      <c r="R401" s="402">
        <v>0</v>
      </c>
      <c r="S401" s="402">
        <v>0</v>
      </c>
      <c r="T401" s="402">
        <v>0</v>
      </c>
      <c r="U401" s="402">
        <v>0</v>
      </c>
      <c r="V401" s="402">
        <v>641.69000000000005</v>
      </c>
      <c r="W401" s="402">
        <v>91.67</v>
      </c>
      <c r="X401" s="402">
        <v>91.67</v>
      </c>
      <c r="Y401" s="402">
        <v>91.67</v>
      </c>
      <c r="Z401" s="402">
        <v>91.67</v>
      </c>
      <c r="AA401" s="402">
        <v>1008.37</v>
      </c>
    </row>
    <row r="402" spans="10:27" ht="15" customHeight="1" x14ac:dyDescent="0.25">
      <c r="J402" s="400" t="s">
        <v>336</v>
      </c>
      <c r="K402" s="401" t="s">
        <v>1069</v>
      </c>
      <c r="L402" s="402" t="s">
        <v>1070</v>
      </c>
      <c r="M402" s="402">
        <v>533.6</v>
      </c>
      <c r="N402" s="402">
        <v>1500.35</v>
      </c>
      <c r="O402" s="402">
        <v>0</v>
      </c>
      <c r="P402" s="402">
        <v>0</v>
      </c>
      <c r="Q402" s="402">
        <v>0</v>
      </c>
      <c r="R402" s="402">
        <v>0</v>
      </c>
      <c r="S402" s="402">
        <v>0</v>
      </c>
      <c r="T402" s="402">
        <v>0</v>
      </c>
      <c r="U402" s="402">
        <v>0</v>
      </c>
      <c r="V402" s="402">
        <v>106.72</v>
      </c>
      <c r="W402" s="402">
        <v>106.72</v>
      </c>
      <c r="X402" s="402">
        <v>106.72</v>
      </c>
      <c r="Y402" s="402">
        <v>106.72</v>
      </c>
      <c r="Z402" s="402">
        <v>106.72</v>
      </c>
      <c r="AA402" s="402">
        <v>533.6</v>
      </c>
    </row>
    <row r="403" spans="10:27" ht="15" customHeight="1" x14ac:dyDescent="0.25">
      <c r="J403" s="400" t="s">
        <v>336</v>
      </c>
      <c r="K403" s="401" t="s">
        <v>1071</v>
      </c>
      <c r="L403" s="402" t="s">
        <v>1072</v>
      </c>
      <c r="M403" s="402">
        <v>312908.75</v>
      </c>
      <c r="N403" s="402">
        <v>579969.50685000001</v>
      </c>
      <c r="O403" s="402">
        <v>0</v>
      </c>
      <c r="P403" s="402">
        <v>0</v>
      </c>
      <c r="Q403" s="402">
        <v>0</v>
      </c>
      <c r="R403" s="402">
        <v>0</v>
      </c>
      <c r="S403" s="402">
        <v>0</v>
      </c>
      <c r="T403" s="402">
        <v>0</v>
      </c>
      <c r="U403" s="402">
        <v>0</v>
      </c>
      <c r="V403" s="402">
        <v>134103.75</v>
      </c>
      <c r="W403" s="402">
        <v>44701.25</v>
      </c>
      <c r="X403" s="402">
        <v>44701.25</v>
      </c>
      <c r="Y403" s="402">
        <v>44701.25</v>
      </c>
      <c r="Z403" s="402">
        <v>44701.25</v>
      </c>
      <c r="AA403" s="402">
        <v>312908.75</v>
      </c>
    </row>
    <row r="404" spans="10:27" ht="15" customHeight="1" x14ac:dyDescent="0.25">
      <c r="J404" s="400" t="s">
        <v>336</v>
      </c>
      <c r="K404" s="401" t="s">
        <v>1073</v>
      </c>
      <c r="L404" s="402" t="s">
        <v>1074</v>
      </c>
      <c r="M404" s="402">
        <v>1240117.55</v>
      </c>
      <c r="N404" s="402">
        <v>2926449.94</v>
      </c>
      <c r="O404" s="402">
        <v>0</v>
      </c>
      <c r="P404" s="402">
        <v>0</v>
      </c>
      <c r="Q404" s="402">
        <v>0</v>
      </c>
      <c r="R404" s="402">
        <v>0</v>
      </c>
      <c r="S404" s="402">
        <v>0</v>
      </c>
      <c r="T404" s="402">
        <v>0</v>
      </c>
      <c r="U404" s="402">
        <v>0</v>
      </c>
      <c r="V404" s="402">
        <v>248023.51</v>
      </c>
      <c r="W404" s="402">
        <v>248023.51</v>
      </c>
      <c r="X404" s="402">
        <v>248023.51</v>
      </c>
      <c r="Y404" s="402">
        <v>248023.51</v>
      </c>
      <c r="Z404" s="402">
        <v>248023.51</v>
      </c>
      <c r="AA404" s="402">
        <v>1240117.55</v>
      </c>
    </row>
    <row r="405" spans="10:27" ht="15" customHeight="1" x14ac:dyDescent="0.25">
      <c r="J405" s="400" t="s">
        <v>336</v>
      </c>
      <c r="K405" s="401" t="s">
        <v>1075</v>
      </c>
      <c r="L405" s="402" t="s">
        <v>1076</v>
      </c>
      <c r="M405" s="402">
        <v>264931.49</v>
      </c>
      <c r="N405" s="402">
        <v>603280.98</v>
      </c>
      <c r="O405" s="402">
        <v>0</v>
      </c>
      <c r="P405" s="402">
        <v>0</v>
      </c>
      <c r="Q405" s="402">
        <v>0</v>
      </c>
      <c r="R405" s="402">
        <v>0</v>
      </c>
      <c r="S405" s="402">
        <v>0</v>
      </c>
      <c r="T405" s="402">
        <v>0</v>
      </c>
      <c r="U405" s="402">
        <v>0</v>
      </c>
      <c r="V405" s="402">
        <v>52972.66</v>
      </c>
      <c r="W405" s="402">
        <v>52972.63</v>
      </c>
      <c r="X405" s="402">
        <v>52972.63</v>
      </c>
      <c r="Y405" s="402">
        <v>52972.63</v>
      </c>
      <c r="Z405" s="402">
        <v>53040.94</v>
      </c>
      <c r="AA405" s="402">
        <v>264931.49</v>
      </c>
    </row>
    <row r="406" spans="10:27" ht="15" customHeight="1" x14ac:dyDescent="0.2">
      <c r="J406" s="392" t="s">
        <v>336</v>
      </c>
      <c r="K406" s="399" t="s">
        <v>1077</v>
      </c>
      <c r="L406" s="392" t="s">
        <v>1078</v>
      </c>
      <c r="M406" s="393">
        <v>389080.8</v>
      </c>
      <c r="N406" s="393">
        <v>432709</v>
      </c>
      <c r="O406" s="393">
        <v>36238.94</v>
      </c>
      <c r="P406" s="393">
        <v>29249.48</v>
      </c>
      <c r="Q406" s="393">
        <v>31973.69</v>
      </c>
      <c r="R406" s="393">
        <v>47606.51</v>
      </c>
      <c r="S406" s="393">
        <v>43128.77</v>
      </c>
      <c r="T406" s="393">
        <v>47395.92</v>
      </c>
      <c r="U406" s="393">
        <v>37044.339999999997</v>
      </c>
      <c r="V406" s="393">
        <v>23288.63</v>
      </c>
      <c r="W406" s="393">
        <v>23288.63</v>
      </c>
      <c r="X406" s="393">
        <v>23288.63</v>
      </c>
      <c r="Y406" s="393">
        <v>23288.63</v>
      </c>
      <c r="Z406" s="393">
        <v>23288.63</v>
      </c>
      <c r="AA406" s="393">
        <v>389080.8</v>
      </c>
    </row>
    <row r="407" spans="10:27" ht="15" customHeight="1" x14ac:dyDescent="0.25">
      <c r="J407" s="400" t="s">
        <v>336</v>
      </c>
      <c r="K407" s="401" t="s">
        <v>1079</v>
      </c>
      <c r="L407" s="402" t="s">
        <v>1080</v>
      </c>
      <c r="M407" s="402">
        <v>468267.58</v>
      </c>
      <c r="N407" s="402">
        <v>0</v>
      </c>
      <c r="O407" s="402">
        <v>44511.15</v>
      </c>
      <c r="P407" s="402">
        <v>91825.18</v>
      </c>
      <c r="Q407" s="402">
        <v>58123.27</v>
      </c>
      <c r="R407" s="402">
        <v>57881.68</v>
      </c>
      <c r="S407" s="402">
        <v>101489.14</v>
      </c>
      <c r="T407" s="402">
        <v>60885.88</v>
      </c>
      <c r="U407" s="402">
        <v>53551.28</v>
      </c>
      <c r="V407" s="402">
        <v>0</v>
      </c>
      <c r="W407" s="402">
        <v>0</v>
      </c>
      <c r="X407" s="402">
        <v>0</v>
      </c>
      <c r="Y407" s="402">
        <v>0</v>
      </c>
      <c r="Z407" s="402">
        <v>0</v>
      </c>
      <c r="AA407" s="402">
        <v>468267.58</v>
      </c>
    </row>
    <row r="408" spans="10:27" ht="15" customHeight="1" x14ac:dyDescent="0.25">
      <c r="J408" s="400" t="s">
        <v>336</v>
      </c>
      <c r="K408" s="401" t="s">
        <v>1081</v>
      </c>
      <c r="L408" s="402" t="s">
        <v>1082</v>
      </c>
      <c r="M408" s="402">
        <v>8769.2199999999993</v>
      </c>
      <c r="N408" s="402">
        <v>0</v>
      </c>
      <c r="O408" s="402">
        <v>-943.43</v>
      </c>
      <c r="P408" s="402">
        <v>960.17</v>
      </c>
      <c r="Q408" s="402">
        <v>931.58</v>
      </c>
      <c r="R408" s="402">
        <v>1015.85</v>
      </c>
      <c r="S408" s="402">
        <v>0</v>
      </c>
      <c r="T408" s="402">
        <v>0</v>
      </c>
      <c r="U408" s="402">
        <v>6805.05</v>
      </c>
      <c r="V408" s="402">
        <v>0</v>
      </c>
      <c r="W408" s="402">
        <v>0</v>
      </c>
      <c r="X408" s="402">
        <v>0</v>
      </c>
      <c r="Y408" s="402">
        <v>0</v>
      </c>
      <c r="Z408" s="402">
        <v>0</v>
      </c>
      <c r="AA408" s="402">
        <v>8769.2199999999993</v>
      </c>
    </row>
    <row r="409" spans="10:27" ht="15" customHeight="1" x14ac:dyDescent="0.25">
      <c r="J409" s="400" t="s">
        <v>336</v>
      </c>
      <c r="K409" s="401" t="s">
        <v>1083</v>
      </c>
      <c r="L409" s="402" t="s">
        <v>1084</v>
      </c>
      <c r="M409" s="402">
        <v>11812.1</v>
      </c>
      <c r="N409" s="402">
        <v>0</v>
      </c>
      <c r="O409" s="402">
        <v>3088.95</v>
      </c>
      <c r="P409" s="402">
        <v>0</v>
      </c>
      <c r="Q409" s="402">
        <v>1880.15</v>
      </c>
      <c r="R409" s="402">
        <v>1936.1</v>
      </c>
      <c r="S409" s="402">
        <v>0</v>
      </c>
      <c r="T409" s="402">
        <v>0</v>
      </c>
      <c r="U409" s="402">
        <v>4906.8999999999996</v>
      </c>
      <c r="V409" s="402">
        <v>0</v>
      </c>
      <c r="W409" s="402">
        <v>0</v>
      </c>
      <c r="X409" s="402">
        <v>0</v>
      </c>
      <c r="Y409" s="402">
        <v>0</v>
      </c>
      <c r="Z409" s="402">
        <v>0</v>
      </c>
      <c r="AA409" s="402">
        <v>11812.1</v>
      </c>
    </row>
    <row r="410" spans="10:27" ht="15" customHeight="1" x14ac:dyDescent="0.25">
      <c r="J410" s="400" t="s">
        <v>336</v>
      </c>
      <c r="K410" s="401" t="s">
        <v>1085</v>
      </c>
      <c r="L410" s="402" t="s">
        <v>1086</v>
      </c>
      <c r="M410" s="402">
        <v>12719.27</v>
      </c>
      <c r="N410" s="402">
        <v>0</v>
      </c>
      <c r="O410" s="402">
        <v>12122.29</v>
      </c>
      <c r="P410" s="402">
        <v>-30320.21</v>
      </c>
      <c r="Q410" s="402">
        <v>129.96</v>
      </c>
      <c r="R410" s="402">
        <v>0</v>
      </c>
      <c r="S410" s="402">
        <v>1173.3399999999999</v>
      </c>
      <c r="T410" s="402">
        <v>19192.009999999998</v>
      </c>
      <c r="U410" s="402">
        <v>10421.879999999999</v>
      </c>
      <c r="V410" s="402">
        <v>0</v>
      </c>
      <c r="W410" s="402">
        <v>0</v>
      </c>
      <c r="X410" s="402">
        <v>0</v>
      </c>
      <c r="Y410" s="402">
        <v>0</v>
      </c>
      <c r="Z410" s="402">
        <v>0</v>
      </c>
      <c r="AA410" s="402">
        <v>12719.27</v>
      </c>
    </row>
    <row r="411" spans="10:27" ht="15" customHeight="1" x14ac:dyDescent="0.25">
      <c r="J411" s="400" t="s">
        <v>336</v>
      </c>
      <c r="K411" s="401" t="s">
        <v>1087</v>
      </c>
      <c r="L411" s="402" t="s">
        <v>1088</v>
      </c>
      <c r="M411" s="402">
        <v>0</v>
      </c>
      <c r="N411" s="402">
        <v>2240550.42</v>
      </c>
      <c r="O411" s="402">
        <v>0</v>
      </c>
      <c r="P411" s="402">
        <v>0</v>
      </c>
      <c r="Q411" s="402">
        <v>0</v>
      </c>
      <c r="R411" s="402">
        <v>0</v>
      </c>
      <c r="S411" s="402">
        <v>0</v>
      </c>
      <c r="T411" s="402">
        <v>0</v>
      </c>
      <c r="U411" s="402">
        <v>0</v>
      </c>
      <c r="V411" s="402">
        <v>0</v>
      </c>
      <c r="W411" s="402">
        <v>0</v>
      </c>
      <c r="X411" s="402">
        <v>0</v>
      </c>
      <c r="Y411" s="402">
        <v>0</v>
      </c>
      <c r="Z411" s="402">
        <v>0</v>
      </c>
      <c r="AA411" s="402">
        <v>0</v>
      </c>
    </row>
    <row r="412" spans="10:27" ht="15" customHeight="1" x14ac:dyDescent="0.25">
      <c r="J412" s="411" t="s">
        <v>336</v>
      </c>
      <c r="K412" s="412" t="s">
        <v>1089</v>
      </c>
      <c r="L412" s="410" t="s">
        <v>1090</v>
      </c>
      <c r="M412" s="410">
        <v>232375.34</v>
      </c>
      <c r="N412" s="410">
        <v>66000</v>
      </c>
      <c r="O412" s="410">
        <v>29509.01</v>
      </c>
      <c r="P412" s="410">
        <v>31930.01</v>
      </c>
      <c r="Q412" s="410">
        <v>30437.5</v>
      </c>
      <c r="R412" s="410">
        <v>30091.3</v>
      </c>
      <c r="S412" s="410">
        <v>32920.300000000003</v>
      </c>
      <c r="T412" s="410">
        <v>47395.92</v>
      </c>
      <c r="U412" s="410">
        <v>30091.3</v>
      </c>
      <c r="V412" s="410">
        <v>0</v>
      </c>
      <c r="W412" s="410">
        <v>0</v>
      </c>
      <c r="X412" s="410">
        <v>0</v>
      </c>
      <c r="Y412" s="410">
        <v>0</v>
      </c>
      <c r="Z412" s="410">
        <v>0</v>
      </c>
      <c r="AA412" s="410">
        <v>232375.34</v>
      </c>
    </row>
    <row r="413" spans="10:27" ht="15" customHeight="1" x14ac:dyDescent="0.25">
      <c r="J413" s="400" t="s">
        <v>336</v>
      </c>
      <c r="K413" s="401" t="s">
        <v>1091</v>
      </c>
      <c r="L413" s="402" t="s">
        <v>1092</v>
      </c>
      <c r="M413" s="402">
        <v>-461305.86</v>
      </c>
      <c r="N413" s="402">
        <v>0</v>
      </c>
      <c r="O413" s="402">
        <v>-52049.03</v>
      </c>
      <c r="P413" s="402">
        <v>-65145.67</v>
      </c>
      <c r="Q413" s="402">
        <v>-59528.77</v>
      </c>
      <c r="R413" s="402">
        <v>-43318.42</v>
      </c>
      <c r="S413" s="402">
        <v>-92454.01</v>
      </c>
      <c r="T413" s="402">
        <v>-80077.89</v>
      </c>
      <c r="U413" s="402">
        <v>-68732.070000000007</v>
      </c>
      <c r="V413" s="402">
        <v>0</v>
      </c>
      <c r="W413" s="402">
        <v>0</v>
      </c>
      <c r="X413" s="402">
        <v>0</v>
      </c>
      <c r="Y413" s="402">
        <v>0</v>
      </c>
      <c r="Z413" s="402">
        <v>0</v>
      </c>
      <c r="AA413" s="402">
        <v>-461305.86</v>
      </c>
    </row>
    <row r="414" spans="10:27" ht="15" customHeight="1" x14ac:dyDescent="0.25">
      <c r="J414" s="400" t="s">
        <v>336</v>
      </c>
      <c r="K414" s="401" t="s">
        <v>1093</v>
      </c>
      <c r="L414" s="402" t="s">
        <v>1094</v>
      </c>
      <c r="M414" s="402">
        <v>15000</v>
      </c>
      <c r="N414" s="402">
        <v>0</v>
      </c>
      <c r="O414" s="402">
        <v>0</v>
      </c>
      <c r="P414" s="402">
        <v>0</v>
      </c>
      <c r="Q414" s="402">
        <v>0</v>
      </c>
      <c r="R414" s="402">
        <v>0</v>
      </c>
      <c r="S414" s="402">
        <v>0</v>
      </c>
      <c r="T414" s="402">
        <v>0</v>
      </c>
      <c r="U414" s="402">
        <v>0</v>
      </c>
      <c r="V414" s="402">
        <v>3000</v>
      </c>
      <c r="W414" s="402">
        <v>3000</v>
      </c>
      <c r="X414" s="402">
        <v>3000</v>
      </c>
      <c r="Y414" s="402">
        <v>3000</v>
      </c>
      <c r="Z414" s="402">
        <v>3000</v>
      </c>
      <c r="AA414" s="402">
        <v>15000</v>
      </c>
    </row>
    <row r="415" spans="10:27" ht="15" customHeight="1" x14ac:dyDescent="0.25">
      <c r="J415" s="400" t="s">
        <v>336</v>
      </c>
      <c r="K415" s="401" t="s">
        <v>1095</v>
      </c>
      <c r="L415" s="402" t="s">
        <v>1096</v>
      </c>
      <c r="M415" s="402">
        <v>-50741.95</v>
      </c>
      <c r="N415" s="402">
        <v>-2260734.42</v>
      </c>
      <c r="O415" s="402">
        <v>0</v>
      </c>
      <c r="P415" s="402">
        <v>0</v>
      </c>
      <c r="Q415" s="402">
        <v>0</v>
      </c>
      <c r="R415" s="402">
        <v>0</v>
      </c>
      <c r="S415" s="402">
        <v>0</v>
      </c>
      <c r="T415" s="402">
        <v>0</v>
      </c>
      <c r="U415" s="402">
        <v>0</v>
      </c>
      <c r="V415" s="402">
        <v>-10148.39</v>
      </c>
      <c r="W415" s="402">
        <v>-10148.39</v>
      </c>
      <c r="X415" s="402">
        <v>-10148.39</v>
      </c>
      <c r="Y415" s="402">
        <v>-10148.39</v>
      </c>
      <c r="Z415" s="402">
        <v>-10148.39</v>
      </c>
      <c r="AA415" s="402">
        <v>-50741.95</v>
      </c>
    </row>
    <row r="416" spans="10:27" ht="15" customHeight="1" x14ac:dyDescent="0.25">
      <c r="J416" s="400" t="s">
        <v>336</v>
      </c>
      <c r="K416" s="401" t="s">
        <v>1097</v>
      </c>
      <c r="L416" s="402" t="s">
        <v>1098</v>
      </c>
      <c r="M416" s="402">
        <v>0</v>
      </c>
      <c r="N416" s="402">
        <v>20184</v>
      </c>
      <c r="O416" s="402">
        <v>0</v>
      </c>
      <c r="P416" s="402">
        <v>0</v>
      </c>
      <c r="Q416" s="402">
        <v>0</v>
      </c>
      <c r="R416" s="402">
        <v>0</v>
      </c>
      <c r="S416" s="402">
        <v>0</v>
      </c>
      <c r="T416" s="402">
        <v>0</v>
      </c>
      <c r="U416" s="402">
        <v>0</v>
      </c>
      <c r="V416" s="402">
        <v>0</v>
      </c>
      <c r="W416" s="402">
        <v>0</v>
      </c>
      <c r="X416" s="402">
        <v>0</v>
      </c>
      <c r="Y416" s="402">
        <v>0</v>
      </c>
      <c r="Z416" s="402">
        <v>0</v>
      </c>
      <c r="AA416" s="402">
        <v>0</v>
      </c>
    </row>
    <row r="417" spans="10:27" ht="15" customHeight="1" x14ac:dyDescent="0.25">
      <c r="J417" s="400" t="s">
        <v>336</v>
      </c>
      <c r="K417" s="401" t="s">
        <v>1099</v>
      </c>
      <c r="L417" s="402" t="s">
        <v>1100</v>
      </c>
      <c r="M417" s="402">
        <v>152185.1</v>
      </c>
      <c r="N417" s="402">
        <v>366709</v>
      </c>
      <c r="O417" s="402">
        <v>0</v>
      </c>
      <c r="P417" s="402">
        <v>0</v>
      </c>
      <c r="Q417" s="402">
        <v>0</v>
      </c>
      <c r="R417" s="402">
        <v>0</v>
      </c>
      <c r="S417" s="402">
        <v>0</v>
      </c>
      <c r="T417" s="402">
        <v>0</v>
      </c>
      <c r="U417" s="402">
        <v>0</v>
      </c>
      <c r="V417" s="402">
        <v>30437.02</v>
      </c>
      <c r="W417" s="402">
        <v>30437.02</v>
      </c>
      <c r="X417" s="402">
        <v>30437.02</v>
      </c>
      <c r="Y417" s="402">
        <v>30437.02</v>
      </c>
      <c r="Z417" s="402">
        <v>30437.02</v>
      </c>
      <c r="AA417" s="402">
        <v>152185.1</v>
      </c>
    </row>
    <row r="418" spans="10:27" ht="15" customHeight="1" x14ac:dyDescent="0.2">
      <c r="J418" s="392" t="s">
        <v>336</v>
      </c>
      <c r="K418" s="399" t="s">
        <v>1101</v>
      </c>
      <c r="L418" s="392" t="s">
        <v>1102</v>
      </c>
      <c r="M418" s="393">
        <v>2536542.4500000002</v>
      </c>
      <c r="N418" s="393">
        <v>2805132.0496363998</v>
      </c>
      <c r="O418" s="393">
        <v>248856.7</v>
      </c>
      <c r="P418" s="393">
        <v>207742.2</v>
      </c>
      <c r="Q418" s="393">
        <v>202600.98</v>
      </c>
      <c r="R418" s="393">
        <v>207742.21</v>
      </c>
      <c r="S418" s="393">
        <v>208970.73</v>
      </c>
      <c r="T418" s="393">
        <v>202641.58</v>
      </c>
      <c r="U418" s="393">
        <v>209040.3</v>
      </c>
      <c r="V418" s="393">
        <v>206489.55</v>
      </c>
      <c r="W418" s="393">
        <v>206489.55</v>
      </c>
      <c r="X418" s="393">
        <v>206489.55</v>
      </c>
      <c r="Y418" s="393">
        <v>206489.55</v>
      </c>
      <c r="Z418" s="393">
        <v>222989.55</v>
      </c>
      <c r="AA418" s="393">
        <v>2536542.4500000002</v>
      </c>
    </row>
    <row r="419" spans="10:27" ht="15" customHeight="1" x14ac:dyDescent="0.25">
      <c r="J419" s="400" t="s">
        <v>336</v>
      </c>
      <c r="K419" s="401" t="s">
        <v>1103</v>
      </c>
      <c r="L419" s="402" t="s">
        <v>1104</v>
      </c>
      <c r="M419" s="402">
        <v>895350.49</v>
      </c>
      <c r="N419" s="402">
        <v>583020</v>
      </c>
      <c r="O419" s="402">
        <v>129846.68</v>
      </c>
      <c r="P419" s="402">
        <v>129846.68</v>
      </c>
      <c r="Q419" s="402">
        <v>123517.55</v>
      </c>
      <c r="R419" s="402">
        <v>129846.69</v>
      </c>
      <c r="S419" s="402">
        <v>129846.68</v>
      </c>
      <c r="T419" s="402">
        <v>123517.53</v>
      </c>
      <c r="U419" s="402">
        <v>128928.68</v>
      </c>
      <c r="V419" s="402">
        <v>0</v>
      </c>
      <c r="W419" s="402">
        <v>0</v>
      </c>
      <c r="X419" s="402">
        <v>0</v>
      </c>
      <c r="Y419" s="402">
        <v>0</v>
      </c>
      <c r="Z419" s="402">
        <v>0</v>
      </c>
      <c r="AA419" s="402">
        <v>895350.49</v>
      </c>
    </row>
    <row r="420" spans="10:27" ht="15" customHeight="1" x14ac:dyDescent="0.25">
      <c r="J420" s="400" t="s">
        <v>336</v>
      </c>
      <c r="K420" s="401" t="s">
        <v>1105</v>
      </c>
      <c r="L420" s="402" t="s">
        <v>1106</v>
      </c>
      <c r="M420" s="402">
        <v>0</v>
      </c>
      <c r="N420" s="402">
        <v>207852.26963639999</v>
      </c>
      <c r="O420" s="402">
        <v>0</v>
      </c>
      <c r="P420" s="402">
        <v>0</v>
      </c>
      <c r="Q420" s="402">
        <v>0</v>
      </c>
      <c r="R420" s="402">
        <v>0</v>
      </c>
      <c r="S420" s="402">
        <v>0</v>
      </c>
      <c r="T420" s="402">
        <v>0</v>
      </c>
      <c r="U420" s="402">
        <v>0</v>
      </c>
      <c r="V420" s="402">
        <v>0</v>
      </c>
      <c r="W420" s="402">
        <v>0</v>
      </c>
      <c r="X420" s="402">
        <v>0</v>
      </c>
      <c r="Y420" s="402">
        <v>0</v>
      </c>
      <c r="Z420" s="402">
        <v>0</v>
      </c>
      <c r="AA420" s="402">
        <v>0</v>
      </c>
    </row>
    <row r="421" spans="10:27" ht="15" customHeight="1" x14ac:dyDescent="0.25">
      <c r="J421" s="400" t="s">
        <v>336</v>
      </c>
      <c r="K421" s="401" t="s">
        <v>1107</v>
      </c>
      <c r="L421" s="402" t="s">
        <v>1108</v>
      </c>
      <c r="M421" s="402">
        <v>147099.04999999999</v>
      </c>
      <c r="N421" s="402">
        <v>41897.78</v>
      </c>
      <c r="O421" s="402">
        <v>56255.15</v>
      </c>
      <c r="P421" s="402">
        <v>15140.65</v>
      </c>
      <c r="Q421" s="402">
        <v>15140.65</v>
      </c>
      <c r="R421" s="402">
        <v>15140.65</v>
      </c>
      <c r="S421" s="402">
        <v>15140.65</v>
      </c>
      <c r="T421" s="402">
        <v>15140.65</v>
      </c>
      <c r="U421" s="402">
        <v>15140.65</v>
      </c>
      <c r="V421" s="402">
        <v>0</v>
      </c>
      <c r="W421" s="402">
        <v>0</v>
      </c>
      <c r="X421" s="402">
        <v>0</v>
      </c>
      <c r="Y421" s="402">
        <v>0</v>
      </c>
      <c r="Z421" s="402">
        <v>0</v>
      </c>
      <c r="AA421" s="402">
        <v>147099.04999999999</v>
      </c>
    </row>
    <row r="422" spans="10:27" ht="15" customHeight="1" x14ac:dyDescent="0.25">
      <c r="J422" s="400" t="s">
        <v>336</v>
      </c>
      <c r="K422" s="401" t="s">
        <v>1109</v>
      </c>
      <c r="L422" s="402" t="s">
        <v>1110</v>
      </c>
      <c r="M422" s="402">
        <v>357917.72</v>
      </c>
      <c r="N422" s="402">
        <v>0</v>
      </c>
      <c r="O422" s="402">
        <v>50999.96</v>
      </c>
      <c r="P422" s="402">
        <v>50999.96</v>
      </c>
      <c r="Q422" s="402">
        <v>50999.96</v>
      </c>
      <c r="R422" s="402">
        <v>50999.96</v>
      </c>
      <c r="S422" s="402">
        <v>50999.96</v>
      </c>
      <c r="T422" s="402">
        <v>50999.96</v>
      </c>
      <c r="U422" s="402">
        <v>51917.96</v>
      </c>
      <c r="V422" s="402">
        <v>0</v>
      </c>
      <c r="W422" s="402">
        <v>0</v>
      </c>
      <c r="X422" s="402">
        <v>0</v>
      </c>
      <c r="Y422" s="402">
        <v>0</v>
      </c>
      <c r="Z422" s="402">
        <v>0</v>
      </c>
      <c r="AA422" s="402">
        <v>357917.72</v>
      </c>
    </row>
    <row r="423" spans="10:27" ht="15" customHeight="1" x14ac:dyDescent="0.25">
      <c r="J423" s="400" t="s">
        <v>336</v>
      </c>
      <c r="K423" s="401" t="s">
        <v>1111</v>
      </c>
      <c r="L423" s="402" t="s">
        <v>1112</v>
      </c>
      <c r="M423" s="402">
        <v>87227.44</v>
      </c>
      <c r="N423" s="402">
        <v>46632</v>
      </c>
      <c r="O423" s="402">
        <v>11754.91</v>
      </c>
      <c r="P423" s="402">
        <v>11754.91</v>
      </c>
      <c r="Q423" s="402">
        <v>12942.82</v>
      </c>
      <c r="R423" s="402">
        <v>11754.91</v>
      </c>
      <c r="S423" s="402">
        <v>12983.44</v>
      </c>
      <c r="T423" s="402">
        <v>12983.44</v>
      </c>
      <c r="U423" s="402">
        <v>13053.01</v>
      </c>
      <c r="V423" s="402">
        <v>0</v>
      </c>
      <c r="W423" s="402">
        <v>0</v>
      </c>
      <c r="X423" s="402">
        <v>0</v>
      </c>
      <c r="Y423" s="402">
        <v>0</v>
      </c>
      <c r="Z423" s="402">
        <v>0</v>
      </c>
      <c r="AA423" s="402">
        <v>87227.44</v>
      </c>
    </row>
    <row r="424" spans="10:27" ht="15" customHeight="1" x14ac:dyDescent="0.25">
      <c r="J424" s="400" t="s">
        <v>336</v>
      </c>
      <c r="K424" s="401" t="s">
        <v>1113</v>
      </c>
      <c r="L424" s="402" t="s">
        <v>1114</v>
      </c>
      <c r="M424" s="402">
        <v>927674</v>
      </c>
      <c r="N424" s="402">
        <v>1664328</v>
      </c>
      <c r="O424" s="402">
        <v>0</v>
      </c>
      <c r="P424" s="402">
        <v>0</v>
      </c>
      <c r="Q424" s="402">
        <v>0</v>
      </c>
      <c r="R424" s="402">
        <v>0</v>
      </c>
      <c r="S424" s="402">
        <v>0</v>
      </c>
      <c r="T424" s="402">
        <v>0</v>
      </c>
      <c r="U424" s="402">
        <v>0</v>
      </c>
      <c r="V424" s="402">
        <v>182234.8</v>
      </c>
      <c r="W424" s="402">
        <v>182234.8</v>
      </c>
      <c r="X424" s="402">
        <v>182234.8</v>
      </c>
      <c r="Y424" s="402">
        <v>182234.8</v>
      </c>
      <c r="Z424" s="402">
        <v>198734.8</v>
      </c>
      <c r="AA424" s="402">
        <v>927674</v>
      </c>
    </row>
    <row r="425" spans="10:27" ht="15" customHeight="1" x14ac:dyDescent="0.25">
      <c r="J425" s="400" t="s">
        <v>336</v>
      </c>
      <c r="K425" s="401" t="s">
        <v>1115</v>
      </c>
      <c r="L425" s="402" t="s">
        <v>1116</v>
      </c>
      <c r="M425" s="402">
        <v>45570.5</v>
      </c>
      <c r="N425" s="402">
        <v>85650</v>
      </c>
      <c r="O425" s="402">
        <v>0</v>
      </c>
      <c r="P425" s="402">
        <v>0</v>
      </c>
      <c r="Q425" s="402">
        <v>0</v>
      </c>
      <c r="R425" s="402">
        <v>0</v>
      </c>
      <c r="S425" s="402">
        <v>0</v>
      </c>
      <c r="T425" s="402">
        <v>0</v>
      </c>
      <c r="U425" s="402">
        <v>0</v>
      </c>
      <c r="V425" s="402">
        <v>9114.1</v>
      </c>
      <c r="W425" s="402">
        <v>9114.1</v>
      </c>
      <c r="X425" s="402">
        <v>9114.1</v>
      </c>
      <c r="Y425" s="402">
        <v>9114.1</v>
      </c>
      <c r="Z425" s="402">
        <v>9114.1</v>
      </c>
      <c r="AA425" s="402">
        <v>45570.5</v>
      </c>
    </row>
    <row r="426" spans="10:27" ht="15" customHeight="1" x14ac:dyDescent="0.25">
      <c r="J426" s="400" t="s">
        <v>336</v>
      </c>
      <c r="K426" s="401" t="s">
        <v>1117</v>
      </c>
      <c r="L426" s="402" t="s">
        <v>1118</v>
      </c>
      <c r="M426" s="402">
        <v>75703.25</v>
      </c>
      <c r="N426" s="402">
        <v>175752</v>
      </c>
      <c r="O426" s="402">
        <v>0</v>
      </c>
      <c r="P426" s="402">
        <v>0</v>
      </c>
      <c r="Q426" s="402">
        <v>0</v>
      </c>
      <c r="R426" s="402">
        <v>0</v>
      </c>
      <c r="S426" s="402">
        <v>0</v>
      </c>
      <c r="T426" s="402">
        <v>0</v>
      </c>
      <c r="U426" s="402">
        <v>0</v>
      </c>
      <c r="V426" s="402">
        <v>15140.65</v>
      </c>
      <c r="W426" s="402">
        <v>15140.65</v>
      </c>
      <c r="X426" s="402">
        <v>15140.65</v>
      </c>
      <c r="Y426" s="402">
        <v>15140.65</v>
      </c>
      <c r="Z426" s="402">
        <v>15140.65</v>
      </c>
      <c r="AA426" s="402">
        <v>75703.25</v>
      </c>
    </row>
    <row r="427" spans="10:27" ht="15" customHeight="1" x14ac:dyDescent="0.2">
      <c r="J427" s="392" t="s">
        <v>336</v>
      </c>
      <c r="K427" s="399" t="s">
        <v>1119</v>
      </c>
      <c r="L427" s="392" t="s">
        <v>1120</v>
      </c>
      <c r="M427" s="393">
        <v>147051925.297263</v>
      </c>
      <c r="N427" s="393">
        <v>123938728.4606939</v>
      </c>
      <c r="O427" s="393">
        <v>10442764.939999999</v>
      </c>
      <c r="P427" s="393">
        <v>11509285.779999999</v>
      </c>
      <c r="Q427" s="393">
        <v>12633650.83</v>
      </c>
      <c r="R427" s="393">
        <v>13717258.199999999</v>
      </c>
      <c r="S427" s="393">
        <v>12993046.93</v>
      </c>
      <c r="T427" s="393">
        <v>13161275.619999999</v>
      </c>
      <c r="U427" s="393">
        <v>15025394.189999999</v>
      </c>
      <c r="V427" s="393">
        <v>10092891.422448801</v>
      </c>
      <c r="W427" s="393">
        <v>10688251.617366999</v>
      </c>
      <c r="X427" s="393">
        <v>11967870.7536061</v>
      </c>
      <c r="Y427" s="393">
        <v>13177283.483246399</v>
      </c>
      <c r="Z427" s="393">
        <v>11642951.530594699</v>
      </c>
      <c r="AA427" s="393">
        <v>147051925.297263</v>
      </c>
    </row>
    <row r="428" spans="10:27" ht="15" customHeight="1" x14ac:dyDescent="0.25">
      <c r="J428" s="400" t="s">
        <v>336</v>
      </c>
      <c r="K428" s="401" t="s">
        <v>1121</v>
      </c>
      <c r="L428" s="402" t="s">
        <v>1122</v>
      </c>
      <c r="M428" s="402">
        <v>2164318.15</v>
      </c>
      <c r="N428" s="402">
        <v>1242006.0160908999</v>
      </c>
      <c r="O428" s="402">
        <v>528371.22</v>
      </c>
      <c r="P428" s="402">
        <v>161032.56</v>
      </c>
      <c r="Q428" s="402">
        <v>403067.11</v>
      </c>
      <c r="R428" s="402">
        <v>270510.13</v>
      </c>
      <c r="S428" s="402">
        <v>343944.34</v>
      </c>
      <c r="T428" s="402">
        <v>273551.26</v>
      </c>
      <c r="U428" s="402">
        <v>183841.53</v>
      </c>
      <c r="V428" s="402">
        <v>0</v>
      </c>
      <c r="W428" s="402">
        <v>0</v>
      </c>
      <c r="X428" s="402">
        <v>0</v>
      </c>
      <c r="Y428" s="402">
        <v>0</v>
      </c>
      <c r="Z428" s="402">
        <v>0</v>
      </c>
      <c r="AA428" s="402">
        <v>2164318.15</v>
      </c>
    </row>
    <row r="429" spans="10:27" ht="15" customHeight="1" x14ac:dyDescent="0.25">
      <c r="J429" s="400" t="s">
        <v>336</v>
      </c>
      <c r="K429" s="401" t="s">
        <v>1123</v>
      </c>
      <c r="L429" s="402" t="s">
        <v>1124</v>
      </c>
      <c r="M429" s="402">
        <v>247389.8</v>
      </c>
      <c r="N429" s="402">
        <v>3009.0241357999998</v>
      </c>
      <c r="O429" s="402">
        <v>94189.8</v>
      </c>
      <c r="P429" s="402">
        <v>-15000</v>
      </c>
      <c r="Q429" s="402">
        <v>0</v>
      </c>
      <c r="R429" s="402">
        <v>0</v>
      </c>
      <c r="S429" s="402">
        <v>5700</v>
      </c>
      <c r="T429" s="402">
        <v>162500</v>
      </c>
      <c r="U429" s="402">
        <v>0</v>
      </c>
      <c r="V429" s="402">
        <v>0</v>
      </c>
      <c r="W429" s="402">
        <v>0</v>
      </c>
      <c r="X429" s="402">
        <v>0</v>
      </c>
      <c r="Y429" s="402">
        <v>0</v>
      </c>
      <c r="Z429" s="402">
        <v>0</v>
      </c>
      <c r="AA429" s="402">
        <v>247389.8</v>
      </c>
    </row>
    <row r="430" spans="10:27" ht="15" customHeight="1" x14ac:dyDescent="0.25">
      <c r="J430" s="400" t="s">
        <v>336</v>
      </c>
      <c r="K430" s="401" t="s">
        <v>1125</v>
      </c>
      <c r="L430" s="402" t="s">
        <v>1126</v>
      </c>
      <c r="M430" s="402">
        <v>32314663.600000001</v>
      </c>
      <c r="N430" s="402">
        <v>367249.92521389999</v>
      </c>
      <c r="O430" s="402">
        <v>4486819.66</v>
      </c>
      <c r="P430" s="402">
        <v>4179043.34</v>
      </c>
      <c r="Q430" s="402">
        <v>9096802.2300000004</v>
      </c>
      <c r="R430" s="402">
        <v>2534013.63</v>
      </c>
      <c r="S430" s="402">
        <v>5574852.8899999997</v>
      </c>
      <c r="T430" s="402">
        <v>2594125.12</v>
      </c>
      <c r="U430" s="402">
        <v>3849006.73</v>
      </c>
      <c r="V430" s="402">
        <v>0</v>
      </c>
      <c r="W430" s="402">
        <v>0</v>
      </c>
      <c r="X430" s="402">
        <v>0</v>
      </c>
      <c r="Y430" s="402">
        <v>0</v>
      </c>
      <c r="Z430" s="402">
        <v>0</v>
      </c>
      <c r="AA430" s="402">
        <v>32314663.600000001</v>
      </c>
    </row>
    <row r="431" spans="10:27" ht="15" customHeight="1" x14ac:dyDescent="0.25">
      <c r="J431" s="400" t="s">
        <v>336</v>
      </c>
      <c r="K431" s="401" t="s">
        <v>1127</v>
      </c>
      <c r="L431" s="402" t="s">
        <v>1128</v>
      </c>
      <c r="M431" s="402">
        <v>1039132.56</v>
      </c>
      <c r="N431" s="402">
        <v>115345.9252139</v>
      </c>
      <c r="O431" s="402">
        <v>114553.02</v>
      </c>
      <c r="P431" s="402">
        <v>191616.58</v>
      </c>
      <c r="Q431" s="402">
        <v>380234.17</v>
      </c>
      <c r="R431" s="402">
        <v>49752.46</v>
      </c>
      <c r="S431" s="402">
        <v>81965.69</v>
      </c>
      <c r="T431" s="402">
        <v>97202.18</v>
      </c>
      <c r="U431" s="402">
        <v>123808.46</v>
      </c>
      <c r="V431" s="402">
        <v>0</v>
      </c>
      <c r="W431" s="402">
        <v>0</v>
      </c>
      <c r="X431" s="402">
        <v>0</v>
      </c>
      <c r="Y431" s="402">
        <v>0</v>
      </c>
      <c r="Z431" s="402">
        <v>0</v>
      </c>
      <c r="AA431" s="402">
        <v>1039132.56</v>
      </c>
    </row>
    <row r="432" spans="10:27" ht="15" customHeight="1" x14ac:dyDescent="0.25">
      <c r="J432" s="400" t="s">
        <v>336</v>
      </c>
      <c r="K432" s="401" t="s">
        <v>1129</v>
      </c>
      <c r="L432" s="402" t="s">
        <v>1130</v>
      </c>
      <c r="M432" s="402">
        <v>1135552.6399999999</v>
      </c>
      <c r="N432" s="402">
        <v>1537999.9999997001</v>
      </c>
      <c r="O432" s="402">
        <v>16567</v>
      </c>
      <c r="P432" s="402">
        <v>166471.35999999999</v>
      </c>
      <c r="Q432" s="402">
        <v>490884.43</v>
      </c>
      <c r="R432" s="402">
        <v>124589.69</v>
      </c>
      <c r="S432" s="402">
        <v>230337.75</v>
      </c>
      <c r="T432" s="402">
        <v>45877.34</v>
      </c>
      <c r="U432" s="402">
        <v>60825.07</v>
      </c>
      <c r="V432" s="402">
        <v>0</v>
      </c>
      <c r="W432" s="402">
        <v>0</v>
      </c>
      <c r="X432" s="402">
        <v>0</v>
      </c>
      <c r="Y432" s="402">
        <v>0</v>
      </c>
      <c r="Z432" s="402">
        <v>0</v>
      </c>
      <c r="AA432" s="402">
        <v>1135552.6399999999</v>
      </c>
    </row>
    <row r="433" spans="10:27" ht="15" customHeight="1" x14ac:dyDescent="0.25">
      <c r="J433" s="400" t="s">
        <v>336</v>
      </c>
      <c r="K433" s="401" t="s">
        <v>1131</v>
      </c>
      <c r="L433" s="402" t="s">
        <v>1132</v>
      </c>
      <c r="M433" s="402">
        <v>1127730.3700000001</v>
      </c>
      <c r="N433" s="402">
        <v>133565</v>
      </c>
      <c r="O433" s="402">
        <v>152871</v>
      </c>
      <c r="P433" s="402">
        <v>134526.65</v>
      </c>
      <c r="Q433" s="402">
        <v>139974</v>
      </c>
      <c r="R433" s="402">
        <v>375343.81</v>
      </c>
      <c r="S433" s="402">
        <v>39810.5</v>
      </c>
      <c r="T433" s="402">
        <v>173746.74</v>
      </c>
      <c r="U433" s="402">
        <v>111457.67</v>
      </c>
      <c r="V433" s="402">
        <v>0</v>
      </c>
      <c r="W433" s="402">
        <v>0</v>
      </c>
      <c r="X433" s="402">
        <v>0</v>
      </c>
      <c r="Y433" s="402">
        <v>0</v>
      </c>
      <c r="Z433" s="402">
        <v>0</v>
      </c>
      <c r="AA433" s="402">
        <v>1127730.3700000001</v>
      </c>
    </row>
    <row r="434" spans="10:27" ht="15" customHeight="1" x14ac:dyDescent="0.25">
      <c r="J434" s="400" t="s">
        <v>336</v>
      </c>
      <c r="K434" s="401" t="s">
        <v>1133</v>
      </c>
      <c r="L434" s="402" t="s">
        <v>1134</v>
      </c>
      <c r="M434" s="402">
        <v>19077929.789999999</v>
      </c>
      <c r="N434" s="402">
        <v>3006511.0797183001</v>
      </c>
      <c r="O434" s="402">
        <v>-8605164.4700000007</v>
      </c>
      <c r="P434" s="402">
        <v>11686408.9</v>
      </c>
      <c r="Q434" s="402">
        <v>3401328.99</v>
      </c>
      <c r="R434" s="402">
        <v>3164259.83</v>
      </c>
      <c r="S434" s="402">
        <v>2778274.68</v>
      </c>
      <c r="T434" s="402">
        <v>3780135.65</v>
      </c>
      <c r="U434" s="402">
        <v>2872686.21</v>
      </c>
      <c r="V434" s="402">
        <v>0</v>
      </c>
      <c r="W434" s="402">
        <v>0</v>
      </c>
      <c r="X434" s="402">
        <v>0</v>
      </c>
      <c r="Y434" s="402">
        <v>0</v>
      </c>
      <c r="Z434" s="402">
        <v>0</v>
      </c>
      <c r="AA434" s="402">
        <v>19077929.789999999</v>
      </c>
    </row>
    <row r="435" spans="10:27" ht="15" customHeight="1" x14ac:dyDescent="0.25">
      <c r="J435" s="400" t="s">
        <v>336</v>
      </c>
      <c r="K435" s="401" t="s">
        <v>1135</v>
      </c>
      <c r="L435" s="402" t="s">
        <v>1136</v>
      </c>
      <c r="M435" s="402">
        <v>150454.64000000001</v>
      </c>
      <c r="N435" s="402">
        <v>260000</v>
      </c>
      <c r="O435" s="402">
        <v>-3996.87</v>
      </c>
      <c r="P435" s="402">
        <v>6143.75</v>
      </c>
      <c r="Q435" s="402">
        <v>46578.59</v>
      </c>
      <c r="R435" s="402">
        <v>31500</v>
      </c>
      <c r="S435" s="402">
        <v>16916.669999999998</v>
      </c>
      <c r="T435" s="402">
        <v>52681.25</v>
      </c>
      <c r="U435" s="402">
        <v>631.25</v>
      </c>
      <c r="V435" s="402">
        <v>0</v>
      </c>
      <c r="W435" s="402">
        <v>0</v>
      </c>
      <c r="X435" s="402">
        <v>0</v>
      </c>
      <c r="Y435" s="402">
        <v>0</v>
      </c>
      <c r="Z435" s="402">
        <v>0</v>
      </c>
      <c r="AA435" s="402">
        <v>150454.64000000001</v>
      </c>
    </row>
    <row r="436" spans="10:27" ht="15" customHeight="1" x14ac:dyDescent="0.25">
      <c r="J436" s="400" t="s">
        <v>336</v>
      </c>
      <c r="K436" s="401" t="s">
        <v>1137</v>
      </c>
      <c r="L436" s="402" t="s">
        <v>1138</v>
      </c>
      <c r="M436" s="402">
        <v>457588208.54324299</v>
      </c>
      <c r="N436" s="402">
        <v>19901295.2095006</v>
      </c>
      <c r="O436" s="402">
        <v>54609163.729999997</v>
      </c>
      <c r="P436" s="402">
        <v>30875570.859999999</v>
      </c>
      <c r="Q436" s="402">
        <v>68040565.75</v>
      </c>
      <c r="R436" s="402">
        <v>66147047.969999999</v>
      </c>
      <c r="S436" s="402">
        <v>75927875.959999993</v>
      </c>
      <c r="T436" s="402">
        <v>72117032.439999998</v>
      </c>
      <c r="U436" s="402">
        <v>89012022.700000003</v>
      </c>
      <c r="V436" s="402">
        <v>171785.82664859999</v>
      </c>
      <c r="W436" s="402">
        <v>171785.82664859999</v>
      </c>
      <c r="X436" s="402">
        <v>171785.82664859999</v>
      </c>
      <c r="Y436" s="402">
        <v>171785.82664859999</v>
      </c>
      <c r="Z436" s="402">
        <v>171785.82664859999</v>
      </c>
      <c r="AA436" s="402">
        <v>457588208.54324299</v>
      </c>
    </row>
    <row r="437" spans="10:27" ht="15" customHeight="1" x14ac:dyDescent="0.25">
      <c r="J437" s="400" t="s">
        <v>336</v>
      </c>
      <c r="K437" s="401" t="s">
        <v>1139</v>
      </c>
      <c r="L437" s="402" t="s">
        <v>1140</v>
      </c>
      <c r="M437" s="402">
        <v>0</v>
      </c>
      <c r="N437" s="402">
        <v>7021.0563175999996</v>
      </c>
      <c r="O437" s="402">
        <v>0</v>
      </c>
      <c r="P437" s="402">
        <v>0</v>
      </c>
      <c r="Q437" s="402">
        <v>0</v>
      </c>
      <c r="R437" s="402">
        <v>0</v>
      </c>
      <c r="S437" s="402">
        <v>0</v>
      </c>
      <c r="T437" s="402">
        <v>0</v>
      </c>
      <c r="U437" s="402">
        <v>0</v>
      </c>
      <c r="V437" s="402">
        <v>0</v>
      </c>
      <c r="W437" s="402">
        <v>0</v>
      </c>
      <c r="X437" s="402">
        <v>0</v>
      </c>
      <c r="Y437" s="402">
        <v>0</v>
      </c>
      <c r="Z437" s="402">
        <v>0</v>
      </c>
      <c r="AA437" s="402">
        <v>0</v>
      </c>
    </row>
    <row r="438" spans="10:27" ht="15" customHeight="1" x14ac:dyDescent="0.25">
      <c r="J438" s="400" t="s">
        <v>336</v>
      </c>
      <c r="K438" s="401" t="s">
        <v>1141</v>
      </c>
      <c r="L438" s="402" t="s">
        <v>1142</v>
      </c>
      <c r="M438" s="402">
        <v>77602.990000000005</v>
      </c>
      <c r="N438" s="402">
        <v>0</v>
      </c>
      <c r="O438" s="402">
        <v>5009</v>
      </c>
      <c r="P438" s="402">
        <v>850.12</v>
      </c>
      <c r="Q438" s="402">
        <v>3345.95</v>
      </c>
      <c r="R438" s="402">
        <v>4244.97</v>
      </c>
      <c r="S438" s="402">
        <v>1994.79</v>
      </c>
      <c r="T438" s="402">
        <v>49102.85</v>
      </c>
      <c r="U438" s="402">
        <v>13055.31</v>
      </c>
      <c r="V438" s="402">
        <v>0</v>
      </c>
      <c r="W438" s="402">
        <v>0</v>
      </c>
      <c r="X438" s="402">
        <v>0</v>
      </c>
      <c r="Y438" s="402">
        <v>0</v>
      </c>
      <c r="Z438" s="402">
        <v>0</v>
      </c>
      <c r="AA438" s="402">
        <v>77602.990000000005</v>
      </c>
    </row>
    <row r="439" spans="10:27" ht="15" customHeight="1" x14ac:dyDescent="0.25">
      <c r="J439" s="400" t="s">
        <v>336</v>
      </c>
      <c r="K439" s="401" t="s">
        <v>1143</v>
      </c>
      <c r="L439" s="402" t="s">
        <v>1144</v>
      </c>
      <c r="M439" s="402">
        <v>19778270.300000001</v>
      </c>
      <c r="N439" s="402">
        <v>0</v>
      </c>
      <c r="O439" s="402">
        <v>1822934.99</v>
      </c>
      <c r="P439" s="402">
        <v>2857597.93</v>
      </c>
      <c r="Q439" s="402">
        <v>3326698.45</v>
      </c>
      <c r="R439" s="402">
        <v>2447943.02</v>
      </c>
      <c r="S439" s="402">
        <v>2952315.47</v>
      </c>
      <c r="T439" s="402">
        <v>2471102.2599999998</v>
      </c>
      <c r="U439" s="402">
        <v>3899678.18</v>
      </c>
      <c r="V439" s="402">
        <v>0</v>
      </c>
      <c r="W439" s="402">
        <v>0</v>
      </c>
      <c r="X439" s="402">
        <v>0</v>
      </c>
      <c r="Y439" s="402">
        <v>0</v>
      </c>
      <c r="Z439" s="402">
        <v>0</v>
      </c>
      <c r="AA439" s="402">
        <v>19778270.300000001</v>
      </c>
    </row>
    <row r="440" spans="10:27" ht="15" customHeight="1" x14ac:dyDescent="0.25">
      <c r="J440" s="400" t="s">
        <v>336</v>
      </c>
      <c r="K440" s="401" t="s">
        <v>1145</v>
      </c>
      <c r="L440" s="402" t="s">
        <v>1146</v>
      </c>
      <c r="M440" s="402">
        <v>13418.38</v>
      </c>
      <c r="N440" s="402">
        <v>4609.0241358000003</v>
      </c>
      <c r="O440" s="402">
        <v>-2260.77</v>
      </c>
      <c r="P440" s="402">
        <v>3101.29</v>
      </c>
      <c r="Q440" s="402">
        <v>7843.87</v>
      </c>
      <c r="R440" s="402">
        <v>2038.98</v>
      </c>
      <c r="S440" s="402">
        <v>-11782.2</v>
      </c>
      <c r="T440" s="402">
        <v>8900.6299999999992</v>
      </c>
      <c r="U440" s="402">
        <v>5576.58</v>
      </c>
      <c r="V440" s="402">
        <v>0</v>
      </c>
      <c r="W440" s="402">
        <v>0</v>
      </c>
      <c r="X440" s="402">
        <v>0</v>
      </c>
      <c r="Y440" s="402">
        <v>0</v>
      </c>
      <c r="Z440" s="402">
        <v>0</v>
      </c>
      <c r="AA440" s="402">
        <v>13418.38</v>
      </c>
    </row>
    <row r="441" spans="10:27" ht="15" customHeight="1" x14ac:dyDescent="0.25">
      <c r="J441" s="400" t="s">
        <v>336</v>
      </c>
      <c r="K441" s="401" t="s">
        <v>1147</v>
      </c>
      <c r="L441" s="402" t="s">
        <v>1148</v>
      </c>
      <c r="M441" s="402">
        <v>2688472.37</v>
      </c>
      <c r="N441" s="402">
        <v>50150.402267400001</v>
      </c>
      <c r="O441" s="402">
        <v>338993.55</v>
      </c>
      <c r="P441" s="402">
        <v>526246.69999999995</v>
      </c>
      <c r="Q441" s="402">
        <v>376706.12</v>
      </c>
      <c r="R441" s="402">
        <v>456449.01</v>
      </c>
      <c r="S441" s="402">
        <v>300217.09999999998</v>
      </c>
      <c r="T441" s="402">
        <v>244983.73</v>
      </c>
      <c r="U441" s="402">
        <v>419876.16</v>
      </c>
      <c r="V441" s="402">
        <v>5000</v>
      </c>
      <c r="W441" s="402">
        <v>5000</v>
      </c>
      <c r="X441" s="402">
        <v>5000</v>
      </c>
      <c r="Y441" s="402">
        <v>5000</v>
      </c>
      <c r="Z441" s="402">
        <v>5000</v>
      </c>
      <c r="AA441" s="402">
        <v>2688472.37</v>
      </c>
    </row>
    <row r="442" spans="10:27" ht="15" customHeight="1" x14ac:dyDescent="0.25">
      <c r="J442" s="400" t="s">
        <v>336</v>
      </c>
      <c r="K442" s="401" t="s">
        <v>1149</v>
      </c>
      <c r="L442" s="402" t="s">
        <v>1150</v>
      </c>
      <c r="M442" s="402">
        <v>65028.160000000003</v>
      </c>
      <c r="N442" s="402">
        <v>25075.201133300001</v>
      </c>
      <c r="O442" s="402">
        <v>1860.02</v>
      </c>
      <c r="P442" s="402">
        <v>16439.71</v>
      </c>
      <c r="Q442" s="402">
        <v>525.51</v>
      </c>
      <c r="R442" s="402">
        <v>525.51</v>
      </c>
      <c r="S442" s="402">
        <v>15171.79</v>
      </c>
      <c r="T442" s="402">
        <v>13206.98</v>
      </c>
      <c r="U442" s="402">
        <v>17298.64</v>
      </c>
      <c r="V442" s="402">
        <v>0</v>
      </c>
      <c r="W442" s="402">
        <v>0</v>
      </c>
      <c r="X442" s="402">
        <v>0</v>
      </c>
      <c r="Y442" s="402">
        <v>0</v>
      </c>
      <c r="Z442" s="402">
        <v>0</v>
      </c>
      <c r="AA442" s="402">
        <v>65028.160000000003</v>
      </c>
    </row>
    <row r="443" spans="10:27" ht="15" customHeight="1" x14ac:dyDescent="0.25">
      <c r="J443" s="400" t="s">
        <v>336</v>
      </c>
      <c r="K443" s="401" t="s">
        <v>1151</v>
      </c>
      <c r="L443" s="402" t="s">
        <v>1152</v>
      </c>
      <c r="M443" s="402">
        <v>825519.26</v>
      </c>
      <c r="N443" s="402">
        <v>85255.683853399998</v>
      </c>
      <c r="O443" s="402">
        <v>30603.57</v>
      </c>
      <c r="P443" s="402">
        <v>655089.29</v>
      </c>
      <c r="Q443" s="402">
        <v>28237.599999999999</v>
      </c>
      <c r="R443" s="402">
        <v>8808.1</v>
      </c>
      <c r="S443" s="402">
        <v>70836.39</v>
      </c>
      <c r="T443" s="402">
        <v>9471.09</v>
      </c>
      <c r="U443" s="402">
        <v>22473.22</v>
      </c>
      <c r="V443" s="402">
        <v>0</v>
      </c>
      <c r="W443" s="402">
        <v>0</v>
      </c>
      <c r="X443" s="402">
        <v>0</v>
      </c>
      <c r="Y443" s="402">
        <v>0</v>
      </c>
      <c r="Z443" s="402">
        <v>0</v>
      </c>
      <c r="AA443" s="402">
        <v>825519.26</v>
      </c>
    </row>
    <row r="444" spans="10:27" ht="15" customHeight="1" x14ac:dyDescent="0.25">
      <c r="J444" s="400" t="s">
        <v>336</v>
      </c>
      <c r="K444" s="401" t="s">
        <v>1153</v>
      </c>
      <c r="L444" s="402" t="s">
        <v>1154</v>
      </c>
      <c r="M444" s="402">
        <v>14487772.41</v>
      </c>
      <c r="N444" s="402">
        <v>5835124.4139732998</v>
      </c>
      <c r="O444" s="402">
        <v>2836650.06</v>
      </c>
      <c r="P444" s="402">
        <v>623115.71</v>
      </c>
      <c r="Q444" s="402">
        <v>3580226.26</v>
      </c>
      <c r="R444" s="402">
        <v>2240992.96</v>
      </c>
      <c r="S444" s="402">
        <v>2553829.56</v>
      </c>
      <c r="T444" s="402">
        <v>951916.86</v>
      </c>
      <c r="U444" s="402">
        <v>1601041</v>
      </c>
      <c r="V444" s="402">
        <v>20000</v>
      </c>
      <c r="W444" s="402">
        <v>20000</v>
      </c>
      <c r="X444" s="402">
        <v>20000</v>
      </c>
      <c r="Y444" s="402">
        <v>20000</v>
      </c>
      <c r="Z444" s="402">
        <v>20000</v>
      </c>
      <c r="AA444" s="402">
        <v>14487772.41</v>
      </c>
    </row>
    <row r="445" spans="10:27" ht="15" customHeight="1" x14ac:dyDescent="0.25">
      <c r="J445" s="400" t="s">
        <v>336</v>
      </c>
      <c r="K445" s="401" t="s">
        <v>1155</v>
      </c>
      <c r="L445" s="402" t="s">
        <v>1156</v>
      </c>
      <c r="M445" s="402">
        <v>16000</v>
      </c>
      <c r="N445" s="402">
        <v>0</v>
      </c>
      <c r="O445" s="402">
        <v>0</v>
      </c>
      <c r="P445" s="402">
        <v>0</v>
      </c>
      <c r="Q445" s="402">
        <v>0</v>
      </c>
      <c r="R445" s="402">
        <v>0</v>
      </c>
      <c r="S445" s="402">
        <v>0</v>
      </c>
      <c r="T445" s="402">
        <v>16000</v>
      </c>
      <c r="U445" s="402">
        <v>0</v>
      </c>
      <c r="V445" s="402">
        <v>0</v>
      </c>
      <c r="W445" s="402">
        <v>0</v>
      </c>
      <c r="X445" s="402">
        <v>0</v>
      </c>
      <c r="Y445" s="402">
        <v>0</v>
      </c>
      <c r="Z445" s="402">
        <v>0</v>
      </c>
      <c r="AA445" s="402">
        <v>16000</v>
      </c>
    </row>
    <row r="446" spans="10:27" ht="15" customHeight="1" x14ac:dyDescent="0.25">
      <c r="J446" s="400" t="s">
        <v>336</v>
      </c>
      <c r="K446" s="401" t="s">
        <v>1157</v>
      </c>
      <c r="L446" s="402" t="s">
        <v>1158</v>
      </c>
      <c r="M446" s="402">
        <v>-213749.66</v>
      </c>
      <c r="N446" s="402">
        <v>-3352054.9812774002</v>
      </c>
      <c r="O446" s="402">
        <v>0</v>
      </c>
      <c r="P446" s="402">
        <v>-123660.45</v>
      </c>
      <c r="Q446" s="402">
        <v>0.16</v>
      </c>
      <c r="R446" s="402">
        <v>-107563.36</v>
      </c>
      <c r="S446" s="402">
        <v>-28215</v>
      </c>
      <c r="T446" s="402">
        <v>-104029.97</v>
      </c>
      <c r="U446" s="402">
        <v>89450.03</v>
      </c>
      <c r="V446" s="402">
        <v>60268.93</v>
      </c>
      <c r="W446" s="402">
        <v>0</v>
      </c>
      <c r="X446" s="402">
        <v>0</v>
      </c>
      <c r="Y446" s="402">
        <v>0</v>
      </c>
      <c r="Z446" s="402">
        <v>0</v>
      </c>
      <c r="AA446" s="402">
        <v>-213749.66</v>
      </c>
    </row>
    <row r="447" spans="10:27" ht="15" customHeight="1" x14ac:dyDescent="0.25">
      <c r="J447" s="400" t="s">
        <v>336</v>
      </c>
      <c r="K447" s="401" t="s">
        <v>1159</v>
      </c>
      <c r="L447" s="402" t="s">
        <v>1160</v>
      </c>
      <c r="M447" s="402">
        <v>-462056839.75</v>
      </c>
      <c r="N447" s="402">
        <v>0</v>
      </c>
      <c r="O447" s="402">
        <v>-45984399.57</v>
      </c>
      <c r="P447" s="402">
        <v>-40435308.520000003</v>
      </c>
      <c r="Q447" s="402">
        <v>-76689368.359999999</v>
      </c>
      <c r="R447" s="402">
        <v>-64033198.509999998</v>
      </c>
      <c r="S447" s="402">
        <v>-77860999.450000003</v>
      </c>
      <c r="T447" s="402">
        <v>-69796230.790000007</v>
      </c>
      <c r="U447" s="402">
        <v>-87257334.549999997</v>
      </c>
      <c r="V447" s="402">
        <v>0</v>
      </c>
      <c r="W447" s="402">
        <v>0</v>
      </c>
      <c r="X447" s="402">
        <v>0</v>
      </c>
      <c r="Y447" s="402">
        <v>0</v>
      </c>
      <c r="Z447" s="402">
        <v>0</v>
      </c>
      <c r="AA447" s="402">
        <v>-462056839.75</v>
      </c>
    </row>
    <row r="448" spans="10:27" ht="15" customHeight="1" x14ac:dyDescent="0.25">
      <c r="J448" s="400" t="s">
        <v>336</v>
      </c>
      <c r="K448" s="401" t="s">
        <v>1161</v>
      </c>
      <c r="L448" s="402" t="s">
        <v>1162</v>
      </c>
      <c r="M448" s="402">
        <v>0</v>
      </c>
      <c r="N448" s="402">
        <v>4585749.9999996005</v>
      </c>
      <c r="O448" s="402">
        <v>0</v>
      </c>
      <c r="P448" s="402">
        <v>0</v>
      </c>
      <c r="Q448" s="402">
        <v>0</v>
      </c>
      <c r="R448" s="402">
        <v>0</v>
      </c>
      <c r="S448" s="402">
        <v>0</v>
      </c>
      <c r="T448" s="402">
        <v>0</v>
      </c>
      <c r="U448" s="402">
        <v>0</v>
      </c>
      <c r="V448" s="402">
        <v>0</v>
      </c>
      <c r="W448" s="402">
        <v>0</v>
      </c>
      <c r="X448" s="402">
        <v>0</v>
      </c>
      <c r="Y448" s="402">
        <v>0</v>
      </c>
      <c r="Z448" s="402">
        <v>0</v>
      </c>
      <c r="AA448" s="402">
        <v>0</v>
      </c>
    </row>
    <row r="449" spans="10:27" ht="15" customHeight="1" x14ac:dyDescent="0.25">
      <c r="J449" s="400" t="s">
        <v>336</v>
      </c>
      <c r="K449" s="401" t="s">
        <v>1163</v>
      </c>
      <c r="L449" s="402" t="s">
        <v>1164</v>
      </c>
      <c r="M449" s="402">
        <v>7300</v>
      </c>
      <c r="N449" s="402">
        <v>3571612.2083991999</v>
      </c>
      <c r="O449" s="402">
        <v>0</v>
      </c>
      <c r="P449" s="402">
        <v>0</v>
      </c>
      <c r="Q449" s="402">
        <v>0</v>
      </c>
      <c r="R449" s="402">
        <v>0</v>
      </c>
      <c r="S449" s="402">
        <v>0</v>
      </c>
      <c r="T449" s="402">
        <v>0</v>
      </c>
      <c r="U449" s="402">
        <v>0</v>
      </c>
      <c r="V449" s="402">
        <v>2580</v>
      </c>
      <c r="W449" s="402">
        <v>1180</v>
      </c>
      <c r="X449" s="402">
        <v>1180</v>
      </c>
      <c r="Y449" s="402">
        <v>1180</v>
      </c>
      <c r="Z449" s="402">
        <v>1180</v>
      </c>
      <c r="AA449" s="402">
        <v>7300</v>
      </c>
    </row>
    <row r="450" spans="10:27" ht="15" customHeight="1" x14ac:dyDescent="0.25">
      <c r="J450" s="400" t="s">
        <v>336</v>
      </c>
      <c r="K450" s="401" t="s">
        <v>1165</v>
      </c>
      <c r="L450" s="402" t="s">
        <v>1166</v>
      </c>
      <c r="M450" s="402">
        <v>1556639.5757573</v>
      </c>
      <c r="N450" s="402">
        <v>148925</v>
      </c>
      <c r="O450" s="402">
        <v>0</v>
      </c>
      <c r="P450" s="402">
        <v>0</v>
      </c>
      <c r="Q450" s="402">
        <v>0</v>
      </c>
      <c r="R450" s="402">
        <v>0</v>
      </c>
      <c r="S450" s="402">
        <v>0</v>
      </c>
      <c r="T450" s="402">
        <v>0</v>
      </c>
      <c r="U450" s="402">
        <v>0</v>
      </c>
      <c r="V450" s="402">
        <v>140100.06060600001</v>
      </c>
      <c r="W450" s="402">
        <v>347600.06060600001</v>
      </c>
      <c r="X450" s="402">
        <v>245100.06060600001</v>
      </c>
      <c r="Y450" s="402">
        <v>271506.06060600001</v>
      </c>
      <c r="Z450" s="402">
        <v>552333.33333329996</v>
      </c>
      <c r="AA450" s="402">
        <v>1556639.5757573</v>
      </c>
    </row>
    <row r="451" spans="10:27" ht="15" customHeight="1" x14ac:dyDescent="0.25">
      <c r="J451" s="400" t="s">
        <v>336</v>
      </c>
      <c r="K451" s="401" t="s">
        <v>1167</v>
      </c>
      <c r="L451" s="402" t="s">
        <v>1168</v>
      </c>
      <c r="M451" s="402">
        <v>11134825.41</v>
      </c>
      <c r="N451" s="402">
        <v>27882990.920000002</v>
      </c>
      <c r="O451" s="402">
        <v>0</v>
      </c>
      <c r="P451" s="402">
        <v>0</v>
      </c>
      <c r="Q451" s="402">
        <v>0</v>
      </c>
      <c r="R451" s="402">
        <v>0</v>
      </c>
      <c r="S451" s="402">
        <v>0</v>
      </c>
      <c r="T451" s="402">
        <v>0</v>
      </c>
      <c r="U451" s="402">
        <v>0</v>
      </c>
      <c r="V451" s="402">
        <v>2433387.5299999998</v>
      </c>
      <c r="W451" s="402">
        <v>2071402.45</v>
      </c>
      <c r="X451" s="402">
        <v>2061402.45</v>
      </c>
      <c r="Y451" s="402">
        <v>2527230.5299999998</v>
      </c>
      <c r="Z451" s="402">
        <v>2041402.45</v>
      </c>
      <c r="AA451" s="402">
        <v>11134825.41</v>
      </c>
    </row>
    <row r="452" spans="10:27" ht="15" customHeight="1" x14ac:dyDescent="0.25">
      <c r="J452" s="400" t="s">
        <v>336</v>
      </c>
      <c r="K452" s="401" t="s">
        <v>1169</v>
      </c>
      <c r="L452" s="402" t="s">
        <v>1170</v>
      </c>
      <c r="M452" s="402">
        <v>8860502.5822051</v>
      </c>
      <c r="N452" s="402">
        <v>13633085.6553334</v>
      </c>
      <c r="O452" s="402">
        <v>0</v>
      </c>
      <c r="P452" s="402">
        <v>0</v>
      </c>
      <c r="Q452" s="402">
        <v>0</v>
      </c>
      <c r="R452" s="402">
        <v>0</v>
      </c>
      <c r="S452" s="402">
        <v>0</v>
      </c>
      <c r="T452" s="402">
        <v>0</v>
      </c>
      <c r="U452" s="402">
        <v>0</v>
      </c>
      <c r="V452" s="402">
        <v>1656621.8291076999</v>
      </c>
      <c r="W452" s="402">
        <v>1714349.4991077001</v>
      </c>
      <c r="X452" s="402">
        <v>1725505.522441</v>
      </c>
      <c r="Y452" s="402">
        <v>1775396.447441</v>
      </c>
      <c r="Z452" s="402">
        <v>1988629.2841077</v>
      </c>
      <c r="AA452" s="402">
        <v>8860502.5822051</v>
      </c>
    </row>
    <row r="453" spans="10:27" ht="15" customHeight="1" x14ac:dyDescent="0.25">
      <c r="J453" s="400" t="s">
        <v>336</v>
      </c>
      <c r="K453" s="401" t="s">
        <v>1171</v>
      </c>
      <c r="L453" s="402" t="s">
        <v>1172</v>
      </c>
      <c r="M453" s="402">
        <v>1396039.9</v>
      </c>
      <c r="N453" s="402">
        <v>1818045.66</v>
      </c>
      <c r="O453" s="402">
        <v>0</v>
      </c>
      <c r="P453" s="402">
        <v>0</v>
      </c>
      <c r="Q453" s="402">
        <v>0</v>
      </c>
      <c r="R453" s="402">
        <v>0</v>
      </c>
      <c r="S453" s="402">
        <v>0</v>
      </c>
      <c r="T453" s="402">
        <v>0</v>
      </c>
      <c r="U453" s="402">
        <v>0</v>
      </c>
      <c r="V453" s="402">
        <v>261573</v>
      </c>
      <c r="W453" s="402">
        <v>624380.6</v>
      </c>
      <c r="X453" s="402">
        <v>182951</v>
      </c>
      <c r="Y453" s="402">
        <v>101850.5</v>
      </c>
      <c r="Z453" s="402">
        <v>225284.8</v>
      </c>
      <c r="AA453" s="402">
        <v>1396039.9</v>
      </c>
    </row>
    <row r="454" spans="10:27" ht="15" customHeight="1" x14ac:dyDescent="0.25">
      <c r="J454" s="400" t="s">
        <v>336</v>
      </c>
      <c r="K454" s="401" t="s">
        <v>1173</v>
      </c>
      <c r="L454" s="402" t="s">
        <v>1174</v>
      </c>
      <c r="M454" s="402">
        <v>328800</v>
      </c>
      <c r="N454" s="402">
        <v>187500</v>
      </c>
      <c r="O454" s="402">
        <v>0</v>
      </c>
      <c r="P454" s="402">
        <v>0</v>
      </c>
      <c r="Q454" s="402">
        <v>0</v>
      </c>
      <c r="R454" s="402">
        <v>0</v>
      </c>
      <c r="S454" s="402">
        <v>0</v>
      </c>
      <c r="T454" s="402">
        <v>0</v>
      </c>
      <c r="U454" s="402">
        <v>0</v>
      </c>
      <c r="V454" s="402">
        <v>54600</v>
      </c>
      <c r="W454" s="402">
        <v>132100</v>
      </c>
      <c r="X454" s="402">
        <v>2500</v>
      </c>
      <c r="Y454" s="402">
        <v>132100</v>
      </c>
      <c r="Z454" s="402">
        <v>7500</v>
      </c>
      <c r="AA454" s="402">
        <v>328800</v>
      </c>
    </row>
    <row r="455" spans="10:27" ht="15" customHeight="1" x14ac:dyDescent="0.25">
      <c r="J455" s="400" t="s">
        <v>336</v>
      </c>
      <c r="K455" s="401" t="s">
        <v>1175</v>
      </c>
      <c r="L455" s="402" t="s">
        <v>1176</v>
      </c>
      <c r="M455" s="402">
        <v>300000</v>
      </c>
      <c r="N455" s="402">
        <v>0</v>
      </c>
      <c r="O455" s="402">
        <v>0</v>
      </c>
      <c r="P455" s="402">
        <v>0</v>
      </c>
      <c r="Q455" s="402">
        <v>0</v>
      </c>
      <c r="R455" s="402">
        <v>0</v>
      </c>
      <c r="S455" s="402">
        <v>0</v>
      </c>
      <c r="T455" s="402">
        <v>0</v>
      </c>
      <c r="U455" s="402">
        <v>0</v>
      </c>
      <c r="V455" s="402">
        <v>60000</v>
      </c>
      <c r="W455" s="402">
        <v>60000</v>
      </c>
      <c r="X455" s="402">
        <v>60000</v>
      </c>
      <c r="Y455" s="402">
        <v>60000</v>
      </c>
      <c r="Z455" s="402">
        <v>60000</v>
      </c>
      <c r="AA455" s="402">
        <v>300000</v>
      </c>
    </row>
    <row r="456" spans="10:27" ht="15" customHeight="1" x14ac:dyDescent="0.25">
      <c r="J456" s="400" t="s">
        <v>336</v>
      </c>
      <c r="K456" s="401" t="s">
        <v>1177</v>
      </c>
      <c r="L456" s="402" t="s">
        <v>1178</v>
      </c>
      <c r="M456" s="402">
        <v>252790.61743899999</v>
      </c>
      <c r="N456" s="402">
        <v>263000</v>
      </c>
      <c r="O456" s="402">
        <v>0</v>
      </c>
      <c r="P456" s="402">
        <v>0</v>
      </c>
      <c r="Q456" s="402">
        <v>0</v>
      </c>
      <c r="R456" s="402">
        <v>0</v>
      </c>
      <c r="S456" s="402">
        <v>0</v>
      </c>
      <c r="T456" s="402">
        <v>0</v>
      </c>
      <c r="U456" s="402">
        <v>0</v>
      </c>
      <c r="V456" s="402">
        <v>52084.448796999997</v>
      </c>
      <c r="W456" s="402">
        <v>59289.750313199998</v>
      </c>
      <c r="X456" s="402">
        <v>55448.217009699998</v>
      </c>
      <c r="Y456" s="402">
        <v>42434.241048600001</v>
      </c>
      <c r="Z456" s="402">
        <v>43533.9602705</v>
      </c>
      <c r="AA456" s="402">
        <v>252790.61743899999</v>
      </c>
    </row>
    <row r="457" spans="10:27" ht="15" customHeight="1" x14ac:dyDescent="0.25">
      <c r="J457" s="400" t="s">
        <v>336</v>
      </c>
      <c r="K457" s="401" t="s">
        <v>1179</v>
      </c>
      <c r="L457" s="402" t="s">
        <v>1180</v>
      </c>
      <c r="M457" s="402">
        <v>463660.11333349999</v>
      </c>
      <c r="N457" s="402">
        <v>1689333.0400004</v>
      </c>
      <c r="O457" s="402">
        <v>0</v>
      </c>
      <c r="P457" s="402">
        <v>0</v>
      </c>
      <c r="Q457" s="402">
        <v>0</v>
      </c>
      <c r="R457" s="402">
        <v>0</v>
      </c>
      <c r="S457" s="402">
        <v>0</v>
      </c>
      <c r="T457" s="402">
        <v>0</v>
      </c>
      <c r="U457" s="402">
        <v>0</v>
      </c>
      <c r="V457" s="402">
        <v>78557.756666700006</v>
      </c>
      <c r="W457" s="402">
        <v>78557.756666700006</v>
      </c>
      <c r="X457" s="402">
        <v>108557.08666669999</v>
      </c>
      <c r="Y457" s="402">
        <v>119429.75666670001</v>
      </c>
      <c r="Z457" s="402">
        <v>78557.756666700006</v>
      </c>
      <c r="AA457" s="402">
        <v>463660.11333349999</v>
      </c>
    </row>
    <row r="458" spans="10:27" ht="15" customHeight="1" x14ac:dyDescent="0.25">
      <c r="J458" s="400" t="s">
        <v>336</v>
      </c>
      <c r="K458" s="401" t="s">
        <v>1181</v>
      </c>
      <c r="L458" s="402" t="s">
        <v>1182</v>
      </c>
      <c r="M458" s="402">
        <v>3618547.4366664998</v>
      </c>
      <c r="N458" s="402">
        <v>354731.05346560001</v>
      </c>
      <c r="O458" s="402">
        <v>0</v>
      </c>
      <c r="P458" s="402">
        <v>0</v>
      </c>
      <c r="Q458" s="402">
        <v>0</v>
      </c>
      <c r="R458" s="402">
        <v>0</v>
      </c>
      <c r="S458" s="402">
        <v>0</v>
      </c>
      <c r="T458" s="402">
        <v>0</v>
      </c>
      <c r="U458" s="402">
        <v>0</v>
      </c>
      <c r="V458" s="402">
        <v>232382.86333329999</v>
      </c>
      <c r="W458" s="402">
        <v>731698.36333329999</v>
      </c>
      <c r="X458" s="402">
        <v>874624.40333330003</v>
      </c>
      <c r="Y458" s="402">
        <v>858294.40333330003</v>
      </c>
      <c r="Z458" s="402">
        <v>921547.40333330003</v>
      </c>
      <c r="AA458" s="402">
        <v>3618547.4366664998</v>
      </c>
    </row>
    <row r="459" spans="10:27" ht="15" customHeight="1" x14ac:dyDescent="0.25">
      <c r="J459" s="400" t="s">
        <v>336</v>
      </c>
      <c r="K459" s="401" t="s">
        <v>1183</v>
      </c>
      <c r="L459" s="402" t="s">
        <v>1184</v>
      </c>
      <c r="M459" s="402">
        <v>224000</v>
      </c>
      <c r="N459" s="402">
        <v>0</v>
      </c>
      <c r="O459" s="402">
        <v>0</v>
      </c>
      <c r="P459" s="402">
        <v>0</v>
      </c>
      <c r="Q459" s="402">
        <v>0</v>
      </c>
      <c r="R459" s="402">
        <v>0</v>
      </c>
      <c r="S459" s="402">
        <v>0</v>
      </c>
      <c r="T459" s="402">
        <v>0</v>
      </c>
      <c r="U459" s="402">
        <v>0</v>
      </c>
      <c r="V459" s="402">
        <v>42000</v>
      </c>
      <c r="W459" s="402">
        <v>47000</v>
      </c>
      <c r="X459" s="402">
        <v>55000</v>
      </c>
      <c r="Y459" s="402">
        <v>55000</v>
      </c>
      <c r="Z459" s="402">
        <v>25000</v>
      </c>
      <c r="AA459" s="402">
        <v>224000</v>
      </c>
    </row>
    <row r="460" spans="10:27" ht="15" customHeight="1" x14ac:dyDescent="0.25">
      <c r="J460" s="400" t="s">
        <v>336</v>
      </c>
      <c r="K460" s="401" t="s">
        <v>1185</v>
      </c>
      <c r="L460" s="402" t="s">
        <v>1186</v>
      </c>
      <c r="M460" s="402">
        <v>27097635.2058741</v>
      </c>
      <c r="N460" s="402">
        <v>38465736.803219199</v>
      </c>
      <c r="O460" s="402">
        <v>0</v>
      </c>
      <c r="P460" s="402">
        <v>0</v>
      </c>
      <c r="Q460" s="402">
        <v>0</v>
      </c>
      <c r="R460" s="402">
        <v>0</v>
      </c>
      <c r="S460" s="402">
        <v>0</v>
      </c>
      <c r="T460" s="402">
        <v>0</v>
      </c>
      <c r="U460" s="402">
        <v>0</v>
      </c>
      <c r="V460" s="402">
        <v>4566397.1967406003</v>
      </c>
      <c r="W460" s="402">
        <v>4368105.3301426005</v>
      </c>
      <c r="X460" s="402">
        <v>6143264.2063518995</v>
      </c>
      <c r="Y460" s="402">
        <v>6780523.7369533004</v>
      </c>
      <c r="Z460" s="402">
        <v>5239344.7356856996</v>
      </c>
      <c r="AA460" s="402">
        <v>27097635.2058741</v>
      </c>
    </row>
    <row r="461" spans="10:27" ht="15" customHeight="1" x14ac:dyDescent="0.25">
      <c r="J461" s="400" t="s">
        <v>336</v>
      </c>
      <c r="K461" s="401" t="s">
        <v>1187</v>
      </c>
      <c r="L461" s="402" t="s">
        <v>1188</v>
      </c>
      <c r="M461" s="402">
        <v>6243.8027444999998</v>
      </c>
      <c r="N461" s="402">
        <v>257314.7</v>
      </c>
      <c r="O461" s="402">
        <v>0</v>
      </c>
      <c r="P461" s="402">
        <v>0</v>
      </c>
      <c r="Q461" s="402">
        <v>0</v>
      </c>
      <c r="R461" s="402">
        <v>0</v>
      </c>
      <c r="S461" s="402">
        <v>0</v>
      </c>
      <c r="T461" s="402">
        <v>0</v>
      </c>
      <c r="U461" s="402">
        <v>0</v>
      </c>
      <c r="V461" s="402">
        <v>1138.7605489</v>
      </c>
      <c r="W461" s="402">
        <v>1388.7605489</v>
      </c>
      <c r="X461" s="402">
        <v>1138.7605489</v>
      </c>
      <c r="Y461" s="402">
        <v>1138.7605489</v>
      </c>
      <c r="Z461" s="402">
        <v>1438.7605489</v>
      </c>
      <c r="AA461" s="402">
        <v>6243.8027444999998</v>
      </c>
    </row>
    <row r="462" spans="10:27" ht="15" customHeight="1" x14ac:dyDescent="0.25">
      <c r="J462" s="400" t="s">
        <v>336</v>
      </c>
      <c r="K462" s="401" t="s">
        <v>1189</v>
      </c>
      <c r="L462" s="402" t="s">
        <v>1190</v>
      </c>
      <c r="M462" s="402">
        <v>1675000</v>
      </c>
      <c r="N462" s="402">
        <v>4072788</v>
      </c>
      <c r="O462" s="402">
        <v>0</v>
      </c>
      <c r="P462" s="402">
        <v>0</v>
      </c>
      <c r="Q462" s="402">
        <v>0</v>
      </c>
      <c r="R462" s="402">
        <v>0</v>
      </c>
      <c r="S462" s="402">
        <v>0</v>
      </c>
      <c r="T462" s="402">
        <v>0</v>
      </c>
      <c r="U462" s="402">
        <v>0</v>
      </c>
      <c r="V462" s="402">
        <v>335000</v>
      </c>
      <c r="W462" s="402">
        <v>335000</v>
      </c>
      <c r="X462" s="402">
        <v>335000</v>
      </c>
      <c r="Y462" s="402">
        <v>335000</v>
      </c>
      <c r="Z462" s="402">
        <v>335000</v>
      </c>
      <c r="AA462" s="402">
        <v>1675000</v>
      </c>
    </row>
    <row r="463" spans="10:27" ht="15" customHeight="1" x14ac:dyDescent="0.25">
      <c r="J463" s="400" t="s">
        <v>336</v>
      </c>
      <c r="K463" s="401" t="s">
        <v>1191</v>
      </c>
      <c r="L463" s="402" t="s">
        <v>1192</v>
      </c>
      <c r="M463" s="402">
        <v>0</v>
      </c>
      <c r="N463" s="402">
        <v>2400</v>
      </c>
      <c r="O463" s="402">
        <v>0</v>
      </c>
      <c r="P463" s="402">
        <v>0</v>
      </c>
      <c r="Q463" s="402">
        <v>0</v>
      </c>
      <c r="R463" s="402">
        <v>0</v>
      </c>
      <c r="S463" s="402">
        <v>0</v>
      </c>
      <c r="T463" s="402">
        <v>0</v>
      </c>
      <c r="U463" s="402">
        <v>0</v>
      </c>
      <c r="V463" s="402">
        <v>0</v>
      </c>
      <c r="W463" s="402">
        <v>0</v>
      </c>
      <c r="X463" s="402">
        <v>0</v>
      </c>
      <c r="Y463" s="402">
        <v>0</v>
      </c>
      <c r="Z463" s="402">
        <v>0</v>
      </c>
      <c r="AA463" s="402">
        <v>0</v>
      </c>
    </row>
    <row r="464" spans="10:27" ht="15" customHeight="1" x14ac:dyDescent="0.25">
      <c r="J464" s="400" t="s">
        <v>336</v>
      </c>
      <c r="K464" s="401" t="s">
        <v>1193</v>
      </c>
      <c r="L464" s="402" t="s">
        <v>1194</v>
      </c>
      <c r="M464" s="402">
        <v>3653.7</v>
      </c>
      <c r="N464" s="402">
        <v>0</v>
      </c>
      <c r="O464" s="402">
        <v>0</v>
      </c>
      <c r="P464" s="402">
        <v>0</v>
      </c>
      <c r="Q464" s="402">
        <v>0</v>
      </c>
      <c r="R464" s="402">
        <v>0</v>
      </c>
      <c r="S464" s="402">
        <v>0</v>
      </c>
      <c r="T464" s="402">
        <v>0</v>
      </c>
      <c r="U464" s="402">
        <v>0</v>
      </c>
      <c r="V464" s="402">
        <v>730.74</v>
      </c>
      <c r="W464" s="402">
        <v>730.74</v>
      </c>
      <c r="X464" s="402">
        <v>730.74</v>
      </c>
      <c r="Y464" s="402">
        <v>730.74</v>
      </c>
      <c r="Z464" s="402">
        <v>730.74</v>
      </c>
      <c r="AA464" s="402">
        <v>3653.7</v>
      </c>
    </row>
    <row r="465" spans="10:27" ht="15" customHeight="1" x14ac:dyDescent="0.25">
      <c r="J465" s="400" t="s">
        <v>336</v>
      </c>
      <c r="K465" s="401" t="s">
        <v>1195</v>
      </c>
      <c r="L465" s="402" t="s">
        <v>1196</v>
      </c>
      <c r="M465" s="402">
        <v>-400587.6</v>
      </c>
      <c r="N465" s="402">
        <v>-2216647.56</v>
      </c>
      <c r="O465" s="402">
        <v>0</v>
      </c>
      <c r="P465" s="402">
        <v>0</v>
      </c>
      <c r="Q465" s="402">
        <v>0</v>
      </c>
      <c r="R465" s="402">
        <v>0</v>
      </c>
      <c r="S465" s="402">
        <v>0</v>
      </c>
      <c r="T465" s="402">
        <v>0</v>
      </c>
      <c r="U465" s="402">
        <v>0</v>
      </c>
      <c r="V465" s="402">
        <v>-81317.52</v>
      </c>
      <c r="W465" s="402">
        <v>-81317.52</v>
      </c>
      <c r="X465" s="402">
        <v>-81317.52</v>
      </c>
      <c r="Y465" s="402">
        <v>-81317.52</v>
      </c>
      <c r="Z465" s="402">
        <v>-75317.52</v>
      </c>
      <c r="AA465" s="402">
        <v>-400587.6</v>
      </c>
    </row>
    <row r="466" spans="10:27" ht="15" customHeight="1" x14ac:dyDescent="0.2">
      <c r="J466" s="392" t="s">
        <v>336</v>
      </c>
      <c r="K466" s="399" t="s">
        <v>1197</v>
      </c>
      <c r="L466" s="392" t="s">
        <v>1198</v>
      </c>
      <c r="M466" s="393">
        <v>-16356462.66</v>
      </c>
      <c r="N466" s="393">
        <v>-19673307.082015399</v>
      </c>
      <c r="O466" s="393">
        <v>-1224729.25</v>
      </c>
      <c r="P466" s="393">
        <v>-1115968.6399999999</v>
      </c>
      <c r="Q466" s="393">
        <v>-1168953.7</v>
      </c>
      <c r="R466" s="393">
        <v>-1146885.96</v>
      </c>
      <c r="S466" s="393">
        <v>-1158449.27</v>
      </c>
      <c r="T466" s="393">
        <v>-1187240.6200000001</v>
      </c>
      <c r="U466" s="393">
        <v>-1158399.1399999999</v>
      </c>
      <c r="V466" s="393">
        <v>-1633161.24</v>
      </c>
      <c r="W466" s="393">
        <v>-1633161.24</v>
      </c>
      <c r="X466" s="393">
        <v>-1632536.24</v>
      </c>
      <c r="Y466" s="393">
        <v>-1633081.24</v>
      </c>
      <c r="Z466" s="393">
        <v>-1663896.12</v>
      </c>
      <c r="AA466" s="393">
        <v>-16356462.66</v>
      </c>
    </row>
    <row r="467" spans="10:27" ht="15" customHeight="1" x14ac:dyDescent="0.25">
      <c r="J467" s="400" t="s">
        <v>336</v>
      </c>
      <c r="K467" s="401" t="s">
        <v>1199</v>
      </c>
      <c r="L467" s="402" t="s">
        <v>1200</v>
      </c>
      <c r="M467" s="402">
        <v>-478617.26</v>
      </c>
      <c r="N467" s="402">
        <v>137221</v>
      </c>
      <c r="O467" s="402">
        <v>-68886.17</v>
      </c>
      <c r="P467" s="402">
        <v>-68884.320000000007</v>
      </c>
      <c r="Q467" s="402">
        <v>-69018.929999999993</v>
      </c>
      <c r="R467" s="402">
        <v>-68266.350000000006</v>
      </c>
      <c r="S467" s="402">
        <v>-66200.160000000003</v>
      </c>
      <c r="T467" s="402">
        <v>-68905.95</v>
      </c>
      <c r="U467" s="402">
        <v>-68455.38</v>
      </c>
      <c r="V467" s="402">
        <v>0</v>
      </c>
      <c r="W467" s="402">
        <v>0</v>
      </c>
      <c r="X467" s="402">
        <v>0</v>
      </c>
      <c r="Y467" s="402">
        <v>0</v>
      </c>
      <c r="Z467" s="402">
        <v>0</v>
      </c>
      <c r="AA467" s="402">
        <v>-478617.26</v>
      </c>
    </row>
    <row r="468" spans="10:27" ht="15" customHeight="1" x14ac:dyDescent="0.25">
      <c r="J468" s="400" t="s">
        <v>336</v>
      </c>
      <c r="K468" s="401" t="s">
        <v>1201</v>
      </c>
      <c r="L468" s="402" t="s">
        <v>1202</v>
      </c>
      <c r="M468" s="402">
        <v>0</v>
      </c>
      <c r="N468" s="402">
        <v>600</v>
      </c>
      <c r="O468" s="402">
        <v>0</v>
      </c>
      <c r="P468" s="402">
        <v>0</v>
      </c>
      <c r="Q468" s="402">
        <v>0</v>
      </c>
      <c r="R468" s="402">
        <v>0</v>
      </c>
      <c r="S468" s="402">
        <v>0</v>
      </c>
      <c r="T468" s="402">
        <v>0</v>
      </c>
      <c r="U468" s="402">
        <v>0</v>
      </c>
      <c r="V468" s="402">
        <v>0</v>
      </c>
      <c r="W468" s="402">
        <v>0</v>
      </c>
      <c r="X468" s="402">
        <v>0</v>
      </c>
      <c r="Y468" s="402">
        <v>0</v>
      </c>
      <c r="Z468" s="402">
        <v>0</v>
      </c>
      <c r="AA468" s="402">
        <v>0</v>
      </c>
    </row>
    <row r="469" spans="10:27" ht="15" customHeight="1" x14ac:dyDescent="0.25">
      <c r="J469" s="400" t="s">
        <v>336</v>
      </c>
      <c r="K469" s="401" t="s">
        <v>1203</v>
      </c>
      <c r="L469" s="402" t="s">
        <v>1204</v>
      </c>
      <c r="M469" s="402">
        <v>3338296.78</v>
      </c>
      <c r="N469" s="402">
        <v>0</v>
      </c>
      <c r="O469" s="402">
        <v>472239.28</v>
      </c>
      <c r="P469" s="402">
        <v>472468.67</v>
      </c>
      <c r="Q469" s="402">
        <v>472405.52</v>
      </c>
      <c r="R469" s="402">
        <v>472320.92</v>
      </c>
      <c r="S469" s="402">
        <v>481251.59</v>
      </c>
      <c r="T469" s="402">
        <v>481485.29</v>
      </c>
      <c r="U469" s="402">
        <v>486125.51</v>
      </c>
      <c r="V469" s="402">
        <v>0</v>
      </c>
      <c r="W469" s="402">
        <v>0</v>
      </c>
      <c r="X469" s="402">
        <v>0</v>
      </c>
      <c r="Y469" s="402">
        <v>0</v>
      </c>
      <c r="Z469" s="402">
        <v>0</v>
      </c>
      <c r="AA469" s="402">
        <v>3338296.78</v>
      </c>
    </row>
    <row r="470" spans="10:27" ht="15" customHeight="1" x14ac:dyDescent="0.25">
      <c r="J470" s="400" t="s">
        <v>336</v>
      </c>
      <c r="K470" s="401" t="s">
        <v>1205</v>
      </c>
      <c r="L470" s="402" t="s">
        <v>1206</v>
      </c>
      <c r="M470" s="402">
        <v>-11020306.1</v>
      </c>
      <c r="N470" s="402">
        <v>0</v>
      </c>
      <c r="O470" s="402">
        <v>-1628082.36</v>
      </c>
      <c r="P470" s="402">
        <v>-1519552.99</v>
      </c>
      <c r="Q470" s="402">
        <v>-1572340.29</v>
      </c>
      <c r="R470" s="402">
        <v>-1550940.53</v>
      </c>
      <c r="S470" s="402">
        <v>-1573500.7</v>
      </c>
      <c r="T470" s="402">
        <v>-1599819.96</v>
      </c>
      <c r="U470" s="402">
        <v>-1576069.27</v>
      </c>
      <c r="V470" s="402">
        <v>0</v>
      </c>
      <c r="W470" s="402">
        <v>0</v>
      </c>
      <c r="X470" s="402">
        <v>0</v>
      </c>
      <c r="Y470" s="402">
        <v>0</v>
      </c>
      <c r="Z470" s="402">
        <v>0</v>
      </c>
      <c r="AA470" s="402">
        <v>-11020306.1</v>
      </c>
    </row>
    <row r="471" spans="10:27" ht="15" customHeight="1" x14ac:dyDescent="0.25">
      <c r="J471" s="400" t="s">
        <v>336</v>
      </c>
      <c r="K471" s="401" t="s">
        <v>1207</v>
      </c>
      <c r="L471" s="402" t="s">
        <v>1208</v>
      </c>
      <c r="M471" s="402">
        <v>0</v>
      </c>
      <c r="N471" s="402">
        <v>4496.04</v>
      </c>
      <c r="O471" s="402">
        <v>0</v>
      </c>
      <c r="P471" s="402">
        <v>0</v>
      </c>
      <c r="Q471" s="402">
        <v>0</v>
      </c>
      <c r="R471" s="402">
        <v>0</v>
      </c>
      <c r="S471" s="402">
        <v>0</v>
      </c>
      <c r="T471" s="402">
        <v>0</v>
      </c>
      <c r="U471" s="402">
        <v>0</v>
      </c>
      <c r="V471" s="402">
        <v>0</v>
      </c>
      <c r="W471" s="402">
        <v>0</v>
      </c>
      <c r="X471" s="402">
        <v>0</v>
      </c>
      <c r="Y471" s="402">
        <v>0</v>
      </c>
      <c r="Z471" s="402">
        <v>0</v>
      </c>
      <c r="AA471" s="402">
        <v>0</v>
      </c>
    </row>
    <row r="472" spans="10:27" ht="15" customHeight="1" x14ac:dyDescent="0.25">
      <c r="J472" s="400" t="s">
        <v>336</v>
      </c>
      <c r="K472" s="401" t="s">
        <v>1209</v>
      </c>
      <c r="L472" s="402" t="s">
        <v>1210</v>
      </c>
      <c r="M472" s="402">
        <v>-8195970.0499999998</v>
      </c>
      <c r="N472" s="402">
        <v>-19815624.122015402</v>
      </c>
      <c r="O472" s="402">
        <v>0</v>
      </c>
      <c r="P472" s="402">
        <v>0</v>
      </c>
      <c r="Q472" s="402">
        <v>0</v>
      </c>
      <c r="R472" s="402">
        <v>0</v>
      </c>
      <c r="S472" s="402">
        <v>0</v>
      </c>
      <c r="T472" s="402">
        <v>0</v>
      </c>
      <c r="U472" s="402">
        <v>0</v>
      </c>
      <c r="V472" s="402">
        <v>-1639325.01</v>
      </c>
      <c r="W472" s="402">
        <v>-1639325.01</v>
      </c>
      <c r="X472" s="402">
        <v>-1638700.01</v>
      </c>
      <c r="Y472" s="402">
        <v>-1639245.01</v>
      </c>
      <c r="Z472" s="402">
        <v>-1639375.01</v>
      </c>
      <c r="AA472" s="402">
        <v>-8195970.0499999998</v>
      </c>
    </row>
    <row r="473" spans="10:27" ht="15" customHeight="1" x14ac:dyDescent="0.25">
      <c r="J473" s="400" t="s">
        <v>336</v>
      </c>
      <c r="K473" s="401" t="s">
        <v>1211</v>
      </c>
      <c r="L473" s="402" t="s">
        <v>1212</v>
      </c>
      <c r="M473" s="402">
        <v>750</v>
      </c>
      <c r="N473" s="402">
        <v>0</v>
      </c>
      <c r="O473" s="402">
        <v>0</v>
      </c>
      <c r="P473" s="402">
        <v>0</v>
      </c>
      <c r="Q473" s="402">
        <v>0</v>
      </c>
      <c r="R473" s="402">
        <v>0</v>
      </c>
      <c r="S473" s="402">
        <v>0</v>
      </c>
      <c r="T473" s="402">
        <v>0</v>
      </c>
      <c r="U473" s="402">
        <v>0</v>
      </c>
      <c r="V473" s="402">
        <v>150</v>
      </c>
      <c r="W473" s="402">
        <v>150</v>
      </c>
      <c r="X473" s="402">
        <v>150</v>
      </c>
      <c r="Y473" s="402">
        <v>150</v>
      </c>
      <c r="Z473" s="402">
        <v>150</v>
      </c>
      <c r="AA473" s="402">
        <v>750</v>
      </c>
    </row>
    <row r="474" spans="10:27" ht="15" customHeight="1" x14ac:dyDescent="0.25">
      <c r="J474" s="400" t="s">
        <v>336</v>
      </c>
      <c r="K474" s="401" t="s">
        <v>1213</v>
      </c>
      <c r="L474" s="402" t="s">
        <v>1214</v>
      </c>
      <c r="M474" s="402">
        <v>-616.03</v>
      </c>
      <c r="N474" s="402">
        <v>0</v>
      </c>
      <c r="O474" s="402">
        <v>0</v>
      </c>
      <c r="P474" s="402">
        <v>0</v>
      </c>
      <c r="Q474" s="402">
        <v>0</v>
      </c>
      <c r="R474" s="402">
        <v>0</v>
      </c>
      <c r="S474" s="402">
        <v>0</v>
      </c>
      <c r="T474" s="402">
        <v>0</v>
      </c>
      <c r="U474" s="402">
        <v>0</v>
      </c>
      <c r="V474" s="402">
        <v>6013.77</v>
      </c>
      <c r="W474" s="402">
        <v>6013.77</v>
      </c>
      <c r="X474" s="402">
        <v>6013.77</v>
      </c>
      <c r="Y474" s="402">
        <v>6013.77</v>
      </c>
      <c r="Z474" s="402">
        <v>-24671.11</v>
      </c>
      <c r="AA474" s="402">
        <v>-616.03</v>
      </c>
    </row>
    <row r="475" spans="10:27" ht="15" customHeight="1" x14ac:dyDescent="0.2">
      <c r="J475" s="392" t="s">
        <v>336</v>
      </c>
      <c r="K475" s="399" t="s">
        <v>1215</v>
      </c>
      <c r="L475" s="392" t="s">
        <v>1216</v>
      </c>
      <c r="M475" s="393">
        <v>4750361.1725099999</v>
      </c>
      <c r="N475" s="393">
        <v>5444166.6141986996</v>
      </c>
      <c r="O475" s="393">
        <v>525270.47</v>
      </c>
      <c r="P475" s="393">
        <v>434355.59</v>
      </c>
      <c r="Q475" s="393">
        <v>505114.39</v>
      </c>
      <c r="R475" s="393">
        <v>375902.92</v>
      </c>
      <c r="S475" s="393">
        <v>436391.12</v>
      </c>
      <c r="T475" s="393">
        <v>432998.59</v>
      </c>
      <c r="U475" s="393">
        <v>478475.36</v>
      </c>
      <c r="V475" s="393">
        <v>296889.49050199997</v>
      </c>
      <c r="W475" s="393">
        <v>315889.49050199997</v>
      </c>
      <c r="X475" s="393">
        <v>317139.49050199997</v>
      </c>
      <c r="Y475" s="393">
        <v>315889.49050199997</v>
      </c>
      <c r="Z475" s="393">
        <v>316044.770502</v>
      </c>
      <c r="AA475" s="393">
        <v>4750361.1725099999</v>
      </c>
    </row>
    <row r="476" spans="10:27" ht="15" customHeight="1" x14ac:dyDescent="0.25">
      <c r="J476" s="400" t="s">
        <v>336</v>
      </c>
      <c r="K476" s="401" t="s">
        <v>1217</v>
      </c>
      <c r="L476" s="402" t="s">
        <v>1218</v>
      </c>
      <c r="M476" s="402">
        <v>5040.12</v>
      </c>
      <c r="N476" s="402">
        <v>0</v>
      </c>
      <c r="O476" s="402">
        <v>484.83</v>
      </c>
      <c r="P476" s="402">
        <v>0</v>
      </c>
      <c r="Q476" s="402">
        <v>927.81</v>
      </c>
      <c r="R476" s="402">
        <v>0</v>
      </c>
      <c r="S476" s="402">
        <v>524.55999999999995</v>
      </c>
      <c r="T476" s="402">
        <v>421.07</v>
      </c>
      <c r="U476" s="402">
        <v>2681.85</v>
      </c>
      <c r="V476" s="402">
        <v>0</v>
      </c>
      <c r="W476" s="402">
        <v>0</v>
      </c>
      <c r="X476" s="402">
        <v>0</v>
      </c>
      <c r="Y476" s="402">
        <v>0</v>
      </c>
      <c r="Z476" s="402">
        <v>0</v>
      </c>
      <c r="AA476" s="402">
        <v>5040.12</v>
      </c>
    </row>
    <row r="477" spans="10:27" ht="15" customHeight="1" x14ac:dyDescent="0.25">
      <c r="J477" s="400" t="s">
        <v>336</v>
      </c>
      <c r="K477" s="401" t="s">
        <v>1219</v>
      </c>
      <c r="L477" s="402" t="s">
        <v>1220</v>
      </c>
      <c r="M477" s="402">
        <v>985.68</v>
      </c>
      <c r="N477" s="402">
        <v>0</v>
      </c>
      <c r="O477" s="402">
        <v>459.58</v>
      </c>
      <c r="P477" s="402">
        <v>0</v>
      </c>
      <c r="Q477" s="402">
        <v>175.2</v>
      </c>
      <c r="R477" s="402">
        <v>90.18</v>
      </c>
      <c r="S477" s="402">
        <v>87.68</v>
      </c>
      <c r="T477" s="402">
        <v>86.52</v>
      </c>
      <c r="U477" s="402">
        <v>86.52</v>
      </c>
      <c r="V477" s="402">
        <v>0</v>
      </c>
      <c r="W477" s="402">
        <v>0</v>
      </c>
      <c r="X477" s="402">
        <v>0</v>
      </c>
      <c r="Y477" s="402">
        <v>0</v>
      </c>
      <c r="Z477" s="402">
        <v>0</v>
      </c>
      <c r="AA477" s="402">
        <v>985.68</v>
      </c>
    </row>
    <row r="478" spans="10:27" ht="15" customHeight="1" x14ac:dyDescent="0.25">
      <c r="J478" s="400" t="s">
        <v>336</v>
      </c>
      <c r="K478" s="401" t="s">
        <v>1221</v>
      </c>
      <c r="L478" s="402" t="s">
        <v>1222</v>
      </c>
      <c r="M478" s="402">
        <v>1868986.86</v>
      </c>
      <c r="N478" s="402">
        <v>689520.86810630001</v>
      </c>
      <c r="O478" s="402">
        <v>242117.57</v>
      </c>
      <c r="P478" s="402">
        <v>254412.73</v>
      </c>
      <c r="Q478" s="402">
        <v>281833.71999999997</v>
      </c>
      <c r="R478" s="402">
        <v>280952.06</v>
      </c>
      <c r="S478" s="402">
        <v>268853.38</v>
      </c>
      <c r="T478" s="402">
        <v>261579.61</v>
      </c>
      <c r="U478" s="402">
        <v>276237.78999999998</v>
      </c>
      <c r="V478" s="402">
        <v>600</v>
      </c>
      <c r="W478" s="402">
        <v>600</v>
      </c>
      <c r="X478" s="402">
        <v>600</v>
      </c>
      <c r="Y478" s="402">
        <v>600</v>
      </c>
      <c r="Z478" s="402">
        <v>600</v>
      </c>
      <c r="AA478" s="402">
        <v>1868986.86</v>
      </c>
    </row>
    <row r="479" spans="10:27" ht="15" customHeight="1" x14ac:dyDescent="0.25">
      <c r="J479" s="400" t="s">
        <v>336</v>
      </c>
      <c r="K479" s="401" t="s">
        <v>1223</v>
      </c>
      <c r="L479" s="402" t="s">
        <v>1224</v>
      </c>
      <c r="M479" s="402">
        <v>227439.32</v>
      </c>
      <c r="N479" s="402">
        <v>802406.43627039995</v>
      </c>
      <c r="O479" s="402">
        <v>42479.19</v>
      </c>
      <c r="P479" s="402">
        <v>44937.06</v>
      </c>
      <c r="Q479" s="402">
        <v>29657.14</v>
      </c>
      <c r="R479" s="402">
        <v>23464.49</v>
      </c>
      <c r="S479" s="402">
        <v>16101.46</v>
      </c>
      <c r="T479" s="402">
        <v>41868.76</v>
      </c>
      <c r="U479" s="402">
        <v>28931.22</v>
      </c>
      <c r="V479" s="402">
        <v>0</v>
      </c>
      <c r="W479" s="402">
        <v>0</v>
      </c>
      <c r="X479" s="402">
        <v>0</v>
      </c>
      <c r="Y479" s="402">
        <v>0</v>
      </c>
      <c r="Z479" s="402">
        <v>0</v>
      </c>
      <c r="AA479" s="402">
        <v>227439.32</v>
      </c>
    </row>
    <row r="480" spans="10:27" ht="15" customHeight="1" x14ac:dyDescent="0.25">
      <c r="J480" s="400" t="s">
        <v>336</v>
      </c>
      <c r="K480" s="401" t="s">
        <v>1225</v>
      </c>
      <c r="L480" s="402" t="s">
        <v>1226</v>
      </c>
      <c r="M480" s="402">
        <v>1288648.19</v>
      </c>
      <c r="N480" s="402">
        <v>386882.89632160001</v>
      </c>
      <c r="O480" s="402">
        <v>240103.57</v>
      </c>
      <c r="P480" s="402">
        <v>158077.92000000001</v>
      </c>
      <c r="Q480" s="402">
        <v>356228.14</v>
      </c>
      <c r="R480" s="402">
        <v>84235.08</v>
      </c>
      <c r="S480" s="402">
        <v>160495.46</v>
      </c>
      <c r="T480" s="402">
        <v>136171.04999999999</v>
      </c>
      <c r="U480" s="402">
        <v>153336.97</v>
      </c>
      <c r="V480" s="402">
        <v>0</v>
      </c>
      <c r="W480" s="402">
        <v>0</v>
      </c>
      <c r="X480" s="402">
        <v>0</v>
      </c>
      <c r="Y480" s="402">
        <v>0</v>
      </c>
      <c r="Z480" s="402">
        <v>0</v>
      </c>
      <c r="AA480" s="402">
        <v>1288648.19</v>
      </c>
    </row>
    <row r="481" spans="10:27" ht="15" customHeight="1" x14ac:dyDescent="0.25">
      <c r="J481" s="400" t="s">
        <v>336</v>
      </c>
      <c r="K481" s="401" t="s">
        <v>1227</v>
      </c>
      <c r="L481" s="402" t="s">
        <v>1228</v>
      </c>
      <c r="M481" s="402">
        <v>52975.01</v>
      </c>
      <c r="N481" s="402">
        <v>457632</v>
      </c>
      <c r="O481" s="402">
        <v>7331.98</v>
      </c>
      <c r="P481" s="402">
        <v>9249.5400000000009</v>
      </c>
      <c r="Q481" s="402">
        <v>6149.76</v>
      </c>
      <c r="R481" s="402">
        <v>8710.99</v>
      </c>
      <c r="S481" s="402">
        <v>5946.93</v>
      </c>
      <c r="T481" s="402">
        <v>6845.18</v>
      </c>
      <c r="U481" s="402">
        <v>6240.63</v>
      </c>
      <c r="V481" s="402">
        <v>500</v>
      </c>
      <c r="W481" s="402">
        <v>500</v>
      </c>
      <c r="X481" s="402">
        <v>500</v>
      </c>
      <c r="Y481" s="402">
        <v>500</v>
      </c>
      <c r="Z481" s="402">
        <v>500</v>
      </c>
      <c r="AA481" s="402">
        <v>52975.01</v>
      </c>
    </row>
    <row r="482" spans="10:27" ht="15" customHeight="1" x14ac:dyDescent="0.25">
      <c r="J482" s="400" t="s">
        <v>336</v>
      </c>
      <c r="K482" s="401" t="s">
        <v>1229</v>
      </c>
      <c r="L482" s="402" t="s">
        <v>1230</v>
      </c>
      <c r="M482" s="402">
        <v>-250066.74</v>
      </c>
      <c r="N482" s="402">
        <v>0</v>
      </c>
      <c r="O482" s="402">
        <v>-7706.25</v>
      </c>
      <c r="P482" s="402">
        <v>-32321.66</v>
      </c>
      <c r="Q482" s="402">
        <v>-169857.38</v>
      </c>
      <c r="R482" s="402">
        <v>-21549.88</v>
      </c>
      <c r="S482" s="402">
        <v>-15618.35</v>
      </c>
      <c r="T482" s="402">
        <v>-13973.6</v>
      </c>
      <c r="U482" s="402">
        <v>10960.38</v>
      </c>
      <c r="V482" s="402">
        <v>0</v>
      </c>
      <c r="W482" s="402">
        <v>0</v>
      </c>
      <c r="X482" s="402">
        <v>0</v>
      </c>
      <c r="Y482" s="402">
        <v>0</v>
      </c>
      <c r="Z482" s="402">
        <v>0</v>
      </c>
      <c r="AA482" s="402">
        <v>-250066.74</v>
      </c>
    </row>
    <row r="483" spans="10:27" ht="15" customHeight="1" x14ac:dyDescent="0.25">
      <c r="J483" s="400" t="s">
        <v>336</v>
      </c>
      <c r="K483" s="401" t="s">
        <v>1231</v>
      </c>
      <c r="L483" s="402" t="s">
        <v>1232</v>
      </c>
      <c r="M483" s="402">
        <v>27500</v>
      </c>
      <c r="N483" s="402">
        <v>103128</v>
      </c>
      <c r="O483" s="402">
        <v>0</v>
      </c>
      <c r="P483" s="402">
        <v>0</v>
      </c>
      <c r="Q483" s="402">
        <v>0</v>
      </c>
      <c r="R483" s="402">
        <v>0</v>
      </c>
      <c r="S483" s="402">
        <v>0</v>
      </c>
      <c r="T483" s="402">
        <v>0</v>
      </c>
      <c r="U483" s="402">
        <v>0</v>
      </c>
      <c r="V483" s="402">
        <v>5500</v>
      </c>
      <c r="W483" s="402">
        <v>5500</v>
      </c>
      <c r="X483" s="402">
        <v>5500</v>
      </c>
      <c r="Y483" s="402">
        <v>5500</v>
      </c>
      <c r="Z483" s="402">
        <v>5500</v>
      </c>
      <c r="AA483" s="402">
        <v>27500</v>
      </c>
    </row>
    <row r="484" spans="10:27" ht="15" customHeight="1" x14ac:dyDescent="0.25">
      <c r="J484" s="400" t="s">
        <v>336</v>
      </c>
      <c r="K484" s="401" t="s">
        <v>1233</v>
      </c>
      <c r="L484" s="402" t="s">
        <v>1234</v>
      </c>
      <c r="M484" s="402">
        <v>1054460.73251</v>
      </c>
      <c r="N484" s="402">
        <v>1441596.4135004</v>
      </c>
      <c r="O484" s="402">
        <v>0</v>
      </c>
      <c r="P484" s="402">
        <v>0</v>
      </c>
      <c r="Q484" s="402">
        <v>0</v>
      </c>
      <c r="R484" s="402">
        <v>0</v>
      </c>
      <c r="S484" s="402">
        <v>0</v>
      </c>
      <c r="T484" s="402">
        <v>0</v>
      </c>
      <c r="U484" s="402">
        <v>0</v>
      </c>
      <c r="V484" s="402">
        <v>195411.09050200001</v>
      </c>
      <c r="W484" s="402">
        <v>214411.09050200001</v>
      </c>
      <c r="X484" s="402">
        <v>215661.09050200001</v>
      </c>
      <c r="Y484" s="402">
        <v>214411.09050200001</v>
      </c>
      <c r="Z484" s="402">
        <v>214566.37050200001</v>
      </c>
      <c r="AA484" s="402">
        <v>1054460.73251</v>
      </c>
    </row>
    <row r="485" spans="10:27" ht="15" customHeight="1" x14ac:dyDescent="0.25">
      <c r="J485" s="400" t="s">
        <v>336</v>
      </c>
      <c r="K485" s="401" t="s">
        <v>1235</v>
      </c>
      <c r="L485" s="402" t="s">
        <v>1236</v>
      </c>
      <c r="M485" s="402">
        <v>0</v>
      </c>
      <c r="N485" s="402">
        <v>66000</v>
      </c>
      <c r="O485" s="402">
        <v>0</v>
      </c>
      <c r="P485" s="402">
        <v>0</v>
      </c>
      <c r="Q485" s="402">
        <v>0</v>
      </c>
      <c r="R485" s="402">
        <v>0</v>
      </c>
      <c r="S485" s="402">
        <v>0</v>
      </c>
      <c r="T485" s="402">
        <v>0</v>
      </c>
      <c r="U485" s="402">
        <v>0</v>
      </c>
      <c r="V485" s="402">
        <v>0</v>
      </c>
      <c r="W485" s="402">
        <v>0</v>
      </c>
      <c r="X485" s="402">
        <v>0</v>
      </c>
      <c r="Y485" s="402">
        <v>0</v>
      </c>
      <c r="Z485" s="402">
        <v>0</v>
      </c>
      <c r="AA485" s="402">
        <v>0</v>
      </c>
    </row>
    <row r="486" spans="10:27" ht="15" customHeight="1" x14ac:dyDescent="0.25">
      <c r="J486" s="400" t="s">
        <v>336</v>
      </c>
      <c r="K486" s="401" t="s">
        <v>1237</v>
      </c>
      <c r="L486" s="402" t="s">
        <v>1238</v>
      </c>
      <c r="M486" s="402">
        <v>474392</v>
      </c>
      <c r="N486" s="402">
        <v>1497000</v>
      </c>
      <c r="O486" s="402">
        <v>0</v>
      </c>
      <c r="P486" s="402">
        <v>0</v>
      </c>
      <c r="Q486" s="402">
        <v>0</v>
      </c>
      <c r="R486" s="402">
        <v>0</v>
      </c>
      <c r="S486" s="402">
        <v>0</v>
      </c>
      <c r="T486" s="402">
        <v>0</v>
      </c>
      <c r="U486" s="402">
        <v>0</v>
      </c>
      <c r="V486" s="402">
        <v>94878.399999999994</v>
      </c>
      <c r="W486" s="402">
        <v>94878.399999999994</v>
      </c>
      <c r="X486" s="402">
        <v>94878.399999999994</v>
      </c>
      <c r="Y486" s="402">
        <v>94878.399999999994</v>
      </c>
      <c r="Z486" s="402">
        <v>94878.399999999994</v>
      </c>
      <c r="AA486" s="402">
        <v>474392</v>
      </c>
    </row>
    <row r="487" spans="10:27" ht="15" customHeight="1" x14ac:dyDescent="0.2">
      <c r="J487" s="392" t="s">
        <v>336</v>
      </c>
      <c r="K487" s="399" t="s">
        <v>1239</v>
      </c>
      <c r="L487" s="392" t="s">
        <v>1240</v>
      </c>
      <c r="M487" s="393">
        <v>-1815495.13</v>
      </c>
      <c r="N487" s="393">
        <v>-2264047.6101837</v>
      </c>
      <c r="O487" s="393">
        <v>-56704.58</v>
      </c>
      <c r="P487" s="393">
        <v>-50165.85</v>
      </c>
      <c r="Q487" s="393">
        <v>-50627.53</v>
      </c>
      <c r="R487" s="393">
        <v>-112742.32</v>
      </c>
      <c r="S487" s="393">
        <v>-256733.68</v>
      </c>
      <c r="T487" s="393">
        <v>-36811.040000000001</v>
      </c>
      <c r="U487" s="393">
        <v>-88001.46</v>
      </c>
      <c r="V487" s="393">
        <v>-253536.39</v>
      </c>
      <c r="W487" s="393">
        <v>-227543.07</v>
      </c>
      <c r="X487" s="393">
        <v>-227543.07</v>
      </c>
      <c r="Y487" s="393">
        <v>-227543.07</v>
      </c>
      <c r="Z487" s="393">
        <v>-227543.07</v>
      </c>
      <c r="AA487" s="393">
        <v>-1815495.13</v>
      </c>
    </row>
    <row r="488" spans="10:27" ht="15" customHeight="1" x14ac:dyDescent="0.25">
      <c r="J488" s="400" t="s">
        <v>336</v>
      </c>
      <c r="K488" s="401" t="s">
        <v>1241</v>
      </c>
      <c r="L488" s="402" t="s">
        <v>1242</v>
      </c>
      <c r="M488" s="402">
        <v>-1075410.4099999999</v>
      </c>
      <c r="N488" s="402">
        <v>0</v>
      </c>
      <c r="O488" s="402">
        <v>-93421.21</v>
      </c>
      <c r="P488" s="402">
        <v>-172794.54</v>
      </c>
      <c r="Q488" s="402">
        <v>-105985.27</v>
      </c>
      <c r="R488" s="402">
        <v>-173240.23</v>
      </c>
      <c r="S488" s="402">
        <v>-225936.31</v>
      </c>
      <c r="T488" s="402">
        <v>-134994.84</v>
      </c>
      <c r="U488" s="402">
        <v>-169038.01</v>
      </c>
      <c r="V488" s="402">
        <v>0</v>
      </c>
      <c r="W488" s="402">
        <v>0</v>
      </c>
      <c r="X488" s="402">
        <v>0</v>
      </c>
      <c r="Y488" s="402">
        <v>0</v>
      </c>
      <c r="Z488" s="402">
        <v>0</v>
      </c>
      <c r="AA488" s="402">
        <v>-1075410.4099999999</v>
      </c>
    </row>
    <row r="489" spans="10:27" ht="15" customHeight="1" x14ac:dyDescent="0.25">
      <c r="J489" s="400" t="s">
        <v>336</v>
      </c>
      <c r="K489" s="401" t="s">
        <v>1243</v>
      </c>
      <c r="L489" s="402" t="s">
        <v>1244</v>
      </c>
      <c r="M489" s="402">
        <v>-3061700.73</v>
      </c>
      <c r="N489" s="402">
        <v>0</v>
      </c>
      <c r="O489" s="402">
        <v>-143677.78</v>
      </c>
      <c r="P489" s="402">
        <v>-506312.9</v>
      </c>
      <c r="Q489" s="402">
        <v>-405434.98</v>
      </c>
      <c r="R489" s="402">
        <v>-377588.61</v>
      </c>
      <c r="S489" s="402">
        <v>-362490.22</v>
      </c>
      <c r="T489" s="402">
        <v>-863710.26</v>
      </c>
      <c r="U489" s="402">
        <v>-402485.98</v>
      </c>
      <c r="V489" s="402">
        <v>0</v>
      </c>
      <c r="W489" s="402">
        <v>0</v>
      </c>
      <c r="X489" s="402">
        <v>0</v>
      </c>
      <c r="Y489" s="402">
        <v>0</v>
      </c>
      <c r="Z489" s="402">
        <v>0</v>
      </c>
      <c r="AA489" s="402">
        <v>-3061700.73</v>
      </c>
    </row>
    <row r="490" spans="10:27" ht="15" customHeight="1" x14ac:dyDescent="0.25">
      <c r="J490" s="400" t="s">
        <v>336</v>
      </c>
      <c r="K490" s="401" t="s">
        <v>1245</v>
      </c>
      <c r="L490" s="402" t="s">
        <v>1246</v>
      </c>
      <c r="M490" s="402">
        <v>-374616.62</v>
      </c>
      <c r="N490" s="402">
        <v>0</v>
      </c>
      <c r="O490" s="402">
        <v>-7484.29</v>
      </c>
      <c r="P490" s="402">
        <v>-67184.27</v>
      </c>
      <c r="Q490" s="402">
        <v>-17930.29</v>
      </c>
      <c r="R490" s="402">
        <v>-75435.88</v>
      </c>
      <c r="S490" s="402">
        <v>-146975.37</v>
      </c>
      <c r="T490" s="402">
        <v>-39482.339999999997</v>
      </c>
      <c r="U490" s="402">
        <v>-20124.18</v>
      </c>
      <c r="V490" s="402">
        <v>0</v>
      </c>
      <c r="W490" s="402">
        <v>0</v>
      </c>
      <c r="X490" s="402">
        <v>0</v>
      </c>
      <c r="Y490" s="402">
        <v>0</v>
      </c>
      <c r="Z490" s="402">
        <v>0</v>
      </c>
      <c r="AA490" s="402">
        <v>-374616.62</v>
      </c>
    </row>
    <row r="491" spans="10:27" ht="15" customHeight="1" x14ac:dyDescent="0.25">
      <c r="J491" s="400" t="s">
        <v>336</v>
      </c>
      <c r="K491" s="401" t="s">
        <v>1247</v>
      </c>
      <c r="L491" s="402" t="s">
        <v>1248</v>
      </c>
      <c r="M491" s="402">
        <v>-1769880.33</v>
      </c>
      <c r="N491" s="402">
        <v>-1561858.8101828999</v>
      </c>
      <c r="O491" s="402">
        <v>-263065.8</v>
      </c>
      <c r="P491" s="402">
        <v>-506521.37</v>
      </c>
      <c r="Q491" s="402">
        <v>-739277.34</v>
      </c>
      <c r="R491" s="402">
        <v>-139131.19</v>
      </c>
      <c r="S491" s="402">
        <v>-144591.34</v>
      </c>
      <c r="T491" s="402">
        <v>37632.25</v>
      </c>
      <c r="U491" s="402">
        <v>-14925.54</v>
      </c>
      <c r="V491" s="402">
        <v>0</v>
      </c>
      <c r="W491" s="402">
        <v>0</v>
      </c>
      <c r="X491" s="402">
        <v>0</v>
      </c>
      <c r="Y491" s="402">
        <v>0</v>
      </c>
      <c r="Z491" s="402">
        <v>0</v>
      </c>
      <c r="AA491" s="402">
        <v>-1769880.33</v>
      </c>
    </row>
    <row r="492" spans="10:27" ht="15" customHeight="1" x14ac:dyDescent="0.25">
      <c r="J492" s="400" t="s">
        <v>336</v>
      </c>
      <c r="K492" s="401" t="s">
        <v>1249</v>
      </c>
      <c r="L492" s="402" t="s">
        <v>1250</v>
      </c>
      <c r="M492" s="402">
        <v>5629821.6299999999</v>
      </c>
      <c r="N492" s="402">
        <v>0</v>
      </c>
      <c r="O492" s="402">
        <v>450944.5</v>
      </c>
      <c r="P492" s="402">
        <v>1202647.23</v>
      </c>
      <c r="Q492" s="402">
        <v>1218000.3500000001</v>
      </c>
      <c r="R492" s="402">
        <v>652653.59</v>
      </c>
      <c r="S492" s="402">
        <v>623259.56000000006</v>
      </c>
      <c r="T492" s="402">
        <v>963744.15</v>
      </c>
      <c r="U492" s="402">
        <v>518572.25</v>
      </c>
      <c r="V492" s="402">
        <v>0</v>
      </c>
      <c r="W492" s="402">
        <v>0</v>
      </c>
      <c r="X492" s="402">
        <v>0</v>
      </c>
      <c r="Y492" s="402">
        <v>0</v>
      </c>
      <c r="Z492" s="402">
        <v>0</v>
      </c>
      <c r="AA492" s="402">
        <v>5629821.6299999999</v>
      </c>
    </row>
    <row r="493" spans="10:27" ht="15" customHeight="1" x14ac:dyDescent="0.25">
      <c r="J493" s="400" t="s">
        <v>336</v>
      </c>
      <c r="K493" s="401" t="s">
        <v>1251</v>
      </c>
      <c r="L493" s="402" t="s">
        <v>1252</v>
      </c>
      <c r="M493" s="402">
        <v>-455000</v>
      </c>
      <c r="N493" s="402">
        <v>0</v>
      </c>
      <c r="O493" s="402">
        <v>0</v>
      </c>
      <c r="P493" s="402">
        <v>0</v>
      </c>
      <c r="Q493" s="402">
        <v>0</v>
      </c>
      <c r="R493" s="402">
        <v>0</v>
      </c>
      <c r="S493" s="402">
        <v>0</v>
      </c>
      <c r="T493" s="402">
        <v>0</v>
      </c>
      <c r="U493" s="402">
        <v>0</v>
      </c>
      <c r="V493" s="402">
        <v>-91000</v>
      </c>
      <c r="W493" s="402">
        <v>-91000</v>
      </c>
      <c r="X493" s="402">
        <v>-91000</v>
      </c>
      <c r="Y493" s="402">
        <v>-91000</v>
      </c>
      <c r="Z493" s="402">
        <v>-91000</v>
      </c>
      <c r="AA493" s="402">
        <v>-455000</v>
      </c>
    </row>
    <row r="494" spans="10:27" ht="15" customHeight="1" x14ac:dyDescent="0.25">
      <c r="J494" s="400" t="s">
        <v>336</v>
      </c>
      <c r="K494" s="401" t="s">
        <v>1253</v>
      </c>
      <c r="L494" s="402" t="s">
        <v>1254</v>
      </c>
      <c r="M494" s="402">
        <v>-210497</v>
      </c>
      <c r="N494" s="402">
        <v>-602188.80000000005</v>
      </c>
      <c r="O494" s="402">
        <v>0</v>
      </c>
      <c r="P494" s="402">
        <v>0</v>
      </c>
      <c r="Q494" s="402">
        <v>0</v>
      </c>
      <c r="R494" s="402">
        <v>0</v>
      </c>
      <c r="S494" s="402">
        <v>0</v>
      </c>
      <c r="T494" s="402">
        <v>0</v>
      </c>
      <c r="U494" s="402">
        <v>0</v>
      </c>
      <c r="V494" s="402">
        <v>-42099.4</v>
      </c>
      <c r="W494" s="402">
        <v>-42099.4</v>
      </c>
      <c r="X494" s="402">
        <v>-42099.4</v>
      </c>
      <c r="Y494" s="402">
        <v>-42099.4</v>
      </c>
      <c r="Z494" s="402">
        <v>-42099.4</v>
      </c>
      <c r="AA494" s="402">
        <v>-210497</v>
      </c>
    </row>
    <row r="495" spans="10:27" ht="15" customHeight="1" x14ac:dyDescent="0.25">
      <c r="J495" s="400" t="s">
        <v>336</v>
      </c>
      <c r="K495" s="401" t="s">
        <v>1255</v>
      </c>
      <c r="L495" s="402" t="s">
        <v>1256</v>
      </c>
      <c r="M495" s="402">
        <v>-404211.67</v>
      </c>
      <c r="N495" s="402">
        <v>0</v>
      </c>
      <c r="O495" s="402">
        <v>0</v>
      </c>
      <c r="P495" s="402">
        <v>0</v>
      </c>
      <c r="Q495" s="402">
        <v>0</v>
      </c>
      <c r="R495" s="402">
        <v>0</v>
      </c>
      <c r="S495" s="402">
        <v>0</v>
      </c>
      <c r="T495" s="402">
        <v>0</v>
      </c>
      <c r="U495" s="402">
        <v>0</v>
      </c>
      <c r="V495" s="402">
        <v>-88836.99</v>
      </c>
      <c r="W495" s="402">
        <v>-78843.67</v>
      </c>
      <c r="X495" s="402">
        <v>-78843.67</v>
      </c>
      <c r="Y495" s="402">
        <v>-78843.67</v>
      </c>
      <c r="Z495" s="402">
        <v>-78843.67</v>
      </c>
      <c r="AA495" s="402">
        <v>-404211.67</v>
      </c>
    </row>
    <row r="496" spans="10:27" ht="15" customHeight="1" x14ac:dyDescent="0.25">
      <c r="J496" s="400" t="s">
        <v>336</v>
      </c>
      <c r="K496" s="401" t="s">
        <v>1257</v>
      </c>
      <c r="L496" s="402" t="s">
        <v>1258</v>
      </c>
      <c r="M496" s="402">
        <v>-94000</v>
      </c>
      <c r="N496" s="402">
        <v>-100000.00000080001</v>
      </c>
      <c r="O496" s="402">
        <v>0</v>
      </c>
      <c r="P496" s="402">
        <v>0</v>
      </c>
      <c r="Q496" s="402">
        <v>0</v>
      </c>
      <c r="R496" s="402">
        <v>0</v>
      </c>
      <c r="S496" s="402">
        <v>0</v>
      </c>
      <c r="T496" s="402">
        <v>0</v>
      </c>
      <c r="U496" s="402">
        <v>0</v>
      </c>
      <c r="V496" s="402">
        <v>-31600</v>
      </c>
      <c r="W496" s="402">
        <v>-15600</v>
      </c>
      <c r="X496" s="402">
        <v>-15600</v>
      </c>
      <c r="Y496" s="402">
        <v>-15600</v>
      </c>
      <c r="Z496" s="402">
        <v>-15600</v>
      </c>
      <c r="AA496" s="402">
        <v>-94000</v>
      </c>
    </row>
    <row r="497" spans="10:27" ht="15" customHeight="1" x14ac:dyDescent="0.2">
      <c r="J497" s="392" t="s">
        <v>336</v>
      </c>
      <c r="K497" s="399" t="s">
        <v>1259</v>
      </c>
      <c r="L497" s="392" t="s">
        <v>1260</v>
      </c>
      <c r="M497" s="393">
        <v>1713173.9110785001</v>
      </c>
      <c r="N497" s="393">
        <v>37846132.2833165</v>
      </c>
      <c r="O497" s="393">
        <v>-2347616.61</v>
      </c>
      <c r="P497" s="393">
        <v>-2880143.47</v>
      </c>
      <c r="Q497" s="393">
        <v>-1928543.01</v>
      </c>
      <c r="R497" s="393">
        <v>-2815658.08</v>
      </c>
      <c r="S497" s="393">
        <v>-3704099.35</v>
      </c>
      <c r="T497" s="393">
        <v>-2220324.4700000002</v>
      </c>
      <c r="U497" s="393">
        <v>-3761173.92</v>
      </c>
      <c r="V497" s="393">
        <v>4713180.5347651001</v>
      </c>
      <c r="W497" s="393">
        <v>5228132.4471714003</v>
      </c>
      <c r="X497" s="393">
        <v>3792860.4535319</v>
      </c>
      <c r="Y497" s="393">
        <v>3452682.6043218998</v>
      </c>
      <c r="Z497" s="393">
        <v>4183876.7812882001</v>
      </c>
      <c r="AA497" s="393">
        <v>1713173.9110785001</v>
      </c>
    </row>
    <row r="498" spans="10:27" ht="15" customHeight="1" x14ac:dyDescent="0.25">
      <c r="J498" s="400" t="s">
        <v>336</v>
      </c>
      <c r="K498" s="401" t="s">
        <v>1261</v>
      </c>
      <c r="L498" s="402" t="s">
        <v>1262</v>
      </c>
      <c r="M498" s="402">
        <v>3877755</v>
      </c>
      <c r="N498" s="402">
        <v>0</v>
      </c>
      <c r="O498" s="402">
        <v>850403</v>
      </c>
      <c r="P498" s="402">
        <v>539632</v>
      </c>
      <c r="Q498" s="402">
        <v>393999</v>
      </c>
      <c r="R498" s="402">
        <v>420739</v>
      </c>
      <c r="S498" s="402">
        <v>562769</v>
      </c>
      <c r="T498" s="402">
        <v>538663</v>
      </c>
      <c r="U498" s="402">
        <v>571550</v>
      </c>
      <c r="V498" s="402">
        <v>0</v>
      </c>
      <c r="W498" s="402">
        <v>0</v>
      </c>
      <c r="X498" s="402">
        <v>0</v>
      </c>
      <c r="Y498" s="402">
        <v>0</v>
      </c>
      <c r="Z498" s="402">
        <v>0</v>
      </c>
      <c r="AA498" s="402">
        <v>3877755</v>
      </c>
    </row>
    <row r="499" spans="10:27" ht="15" customHeight="1" x14ac:dyDescent="0.25">
      <c r="J499" s="400" t="s">
        <v>336</v>
      </c>
      <c r="K499" s="401" t="s">
        <v>1263</v>
      </c>
      <c r="L499" s="402" t="s">
        <v>1264</v>
      </c>
      <c r="M499" s="402">
        <v>106.89</v>
      </c>
      <c r="N499" s="402">
        <v>0</v>
      </c>
      <c r="O499" s="402">
        <v>107</v>
      </c>
      <c r="P499" s="402">
        <v>107</v>
      </c>
      <c r="Q499" s="402">
        <v>70.73</v>
      </c>
      <c r="R499" s="402">
        <v>35.159999999999997</v>
      </c>
      <c r="S499" s="402">
        <v>107</v>
      </c>
      <c r="T499" s="402">
        <v>-427</v>
      </c>
      <c r="U499" s="402">
        <v>107</v>
      </c>
      <c r="V499" s="402">
        <v>0</v>
      </c>
      <c r="W499" s="402">
        <v>0</v>
      </c>
      <c r="X499" s="402">
        <v>0</v>
      </c>
      <c r="Y499" s="402">
        <v>0</v>
      </c>
      <c r="Z499" s="402">
        <v>0</v>
      </c>
      <c r="AA499" s="402">
        <v>106.89</v>
      </c>
    </row>
    <row r="500" spans="10:27" ht="15" customHeight="1" x14ac:dyDescent="0.25">
      <c r="J500" s="400" t="s">
        <v>336</v>
      </c>
      <c r="K500" s="401" t="s">
        <v>1265</v>
      </c>
      <c r="L500" s="402" t="s">
        <v>1266</v>
      </c>
      <c r="M500" s="402">
        <v>314578.34000000003</v>
      </c>
      <c r="N500" s="402">
        <v>0</v>
      </c>
      <c r="O500" s="402">
        <v>0</v>
      </c>
      <c r="P500" s="402">
        <v>0</v>
      </c>
      <c r="Q500" s="402">
        <v>151206.35999999999</v>
      </c>
      <c r="R500" s="402">
        <v>2659.72</v>
      </c>
      <c r="S500" s="402">
        <v>1337.74</v>
      </c>
      <c r="T500" s="402">
        <v>127499.52</v>
      </c>
      <c r="U500" s="402">
        <v>31875</v>
      </c>
      <c r="V500" s="402">
        <v>0</v>
      </c>
      <c r="W500" s="402">
        <v>0</v>
      </c>
      <c r="X500" s="402">
        <v>0</v>
      </c>
      <c r="Y500" s="402">
        <v>0</v>
      </c>
      <c r="Z500" s="402">
        <v>0</v>
      </c>
      <c r="AA500" s="402">
        <v>314578.34000000003</v>
      </c>
    </row>
    <row r="501" spans="10:27" ht="15" customHeight="1" x14ac:dyDescent="0.25">
      <c r="J501" s="400" t="s">
        <v>336</v>
      </c>
      <c r="K501" s="401" t="s">
        <v>1267</v>
      </c>
      <c r="L501" s="402" t="s">
        <v>1268</v>
      </c>
      <c r="M501" s="402">
        <v>0.01</v>
      </c>
      <c r="N501" s="402">
        <v>0</v>
      </c>
      <c r="O501" s="402">
        <v>0</v>
      </c>
      <c r="P501" s="402">
        <v>0</v>
      </c>
      <c r="Q501" s="402">
        <v>42.81</v>
      </c>
      <c r="R501" s="402">
        <v>75.2</v>
      </c>
      <c r="S501" s="402">
        <v>0</v>
      </c>
      <c r="T501" s="402">
        <v>-118</v>
      </c>
      <c r="U501" s="402">
        <v>0</v>
      </c>
      <c r="V501" s="402">
        <v>0</v>
      </c>
      <c r="W501" s="402">
        <v>0</v>
      </c>
      <c r="X501" s="402">
        <v>0</v>
      </c>
      <c r="Y501" s="402">
        <v>0</v>
      </c>
      <c r="Z501" s="402">
        <v>0</v>
      </c>
      <c r="AA501" s="402">
        <v>0.01</v>
      </c>
    </row>
    <row r="502" spans="10:27" ht="15" customHeight="1" x14ac:dyDescent="0.25">
      <c r="J502" s="400" t="s">
        <v>336</v>
      </c>
      <c r="K502" s="401" t="s">
        <v>1269</v>
      </c>
      <c r="L502" s="402" t="s">
        <v>1270</v>
      </c>
      <c r="M502" s="402">
        <v>342743.77</v>
      </c>
      <c r="N502" s="402">
        <v>0</v>
      </c>
      <c r="O502" s="402">
        <v>0</v>
      </c>
      <c r="P502" s="402">
        <v>0</v>
      </c>
      <c r="Q502" s="402">
        <v>119315.91</v>
      </c>
      <c r="R502" s="402">
        <v>0</v>
      </c>
      <c r="S502" s="402">
        <v>0</v>
      </c>
      <c r="T502" s="402">
        <v>223427.86</v>
      </c>
      <c r="U502" s="402">
        <v>0</v>
      </c>
      <c r="V502" s="402">
        <v>0</v>
      </c>
      <c r="W502" s="402">
        <v>0</v>
      </c>
      <c r="X502" s="402">
        <v>0</v>
      </c>
      <c r="Y502" s="402">
        <v>0</v>
      </c>
      <c r="Z502" s="402">
        <v>0</v>
      </c>
      <c r="AA502" s="402">
        <v>342743.77</v>
      </c>
    </row>
    <row r="503" spans="10:27" ht="15" customHeight="1" x14ac:dyDescent="0.25">
      <c r="J503" s="400" t="s">
        <v>336</v>
      </c>
      <c r="K503" s="401" t="s">
        <v>1271</v>
      </c>
      <c r="L503" s="402" t="s">
        <v>1272</v>
      </c>
      <c r="M503" s="402">
        <v>174945.4</v>
      </c>
      <c r="N503" s="402">
        <v>399996</v>
      </c>
      <c r="O503" s="402">
        <v>-3665.6</v>
      </c>
      <c r="P503" s="402">
        <v>600</v>
      </c>
      <c r="Q503" s="402">
        <v>20030</v>
      </c>
      <c r="R503" s="402">
        <v>32695</v>
      </c>
      <c r="S503" s="402">
        <v>-2445</v>
      </c>
      <c r="T503" s="402">
        <v>95231</v>
      </c>
      <c r="U503" s="402">
        <v>32500</v>
      </c>
      <c r="V503" s="402">
        <v>0</v>
      </c>
      <c r="W503" s="402">
        <v>0</v>
      </c>
      <c r="X503" s="402">
        <v>0</v>
      </c>
      <c r="Y503" s="402">
        <v>0</v>
      </c>
      <c r="Z503" s="402">
        <v>0</v>
      </c>
      <c r="AA503" s="402">
        <v>174945.4</v>
      </c>
    </row>
    <row r="504" spans="10:27" ht="15" customHeight="1" x14ac:dyDescent="0.25">
      <c r="J504" s="400" t="s">
        <v>336</v>
      </c>
      <c r="K504" s="401" t="s">
        <v>1273</v>
      </c>
      <c r="L504" s="402" t="s">
        <v>1274</v>
      </c>
      <c r="M504" s="402">
        <v>2319447.77</v>
      </c>
      <c r="N504" s="402">
        <v>108035.54485000001</v>
      </c>
      <c r="O504" s="402">
        <v>733222.98</v>
      </c>
      <c r="P504" s="402">
        <v>45995</v>
      </c>
      <c r="Q504" s="402">
        <v>706920.73</v>
      </c>
      <c r="R504" s="402">
        <v>15390.06</v>
      </c>
      <c r="S504" s="402">
        <v>48365</v>
      </c>
      <c r="T504" s="402">
        <v>719004.98</v>
      </c>
      <c r="U504" s="402">
        <v>50549.02</v>
      </c>
      <c r="V504" s="402">
        <v>0</v>
      </c>
      <c r="W504" s="402">
        <v>0</v>
      </c>
      <c r="X504" s="402">
        <v>0</v>
      </c>
      <c r="Y504" s="402">
        <v>0</v>
      </c>
      <c r="Z504" s="402">
        <v>0</v>
      </c>
      <c r="AA504" s="402">
        <v>2319447.77</v>
      </c>
    </row>
    <row r="505" spans="10:27" ht="15" customHeight="1" x14ac:dyDescent="0.25">
      <c r="J505" s="400" t="s">
        <v>336</v>
      </c>
      <c r="K505" s="401" t="s">
        <v>1275</v>
      </c>
      <c r="L505" s="402" t="s">
        <v>1276</v>
      </c>
      <c r="M505" s="402">
        <v>1569588.03</v>
      </c>
      <c r="N505" s="402">
        <v>500000</v>
      </c>
      <c r="O505" s="402">
        <v>78044.33</v>
      </c>
      <c r="P505" s="402">
        <v>95826.48</v>
      </c>
      <c r="Q505" s="402">
        <v>138750</v>
      </c>
      <c r="R505" s="402">
        <v>128010.31</v>
      </c>
      <c r="S505" s="402">
        <v>232262.5</v>
      </c>
      <c r="T505" s="402">
        <v>672127.44</v>
      </c>
      <c r="U505" s="402">
        <v>224566.97</v>
      </c>
      <c r="V505" s="402">
        <v>0</v>
      </c>
      <c r="W505" s="402">
        <v>0</v>
      </c>
      <c r="X505" s="402">
        <v>0</v>
      </c>
      <c r="Y505" s="402">
        <v>0</v>
      </c>
      <c r="Z505" s="402">
        <v>0</v>
      </c>
      <c r="AA505" s="402">
        <v>1569588.03</v>
      </c>
    </row>
    <row r="506" spans="10:27" ht="15" customHeight="1" x14ac:dyDescent="0.25">
      <c r="J506" s="400" t="s">
        <v>336</v>
      </c>
      <c r="K506" s="401" t="s">
        <v>1277</v>
      </c>
      <c r="L506" s="402" t="s">
        <v>1278</v>
      </c>
      <c r="M506" s="402">
        <v>178415.71</v>
      </c>
      <c r="N506" s="402">
        <v>0</v>
      </c>
      <c r="O506" s="402">
        <v>163784.79999999999</v>
      </c>
      <c r="P506" s="402">
        <v>192178.32</v>
      </c>
      <c r="Q506" s="402">
        <v>27739.9</v>
      </c>
      <c r="R506" s="402">
        <v>66285.899999999994</v>
      </c>
      <c r="S506" s="402">
        <v>179002.71</v>
      </c>
      <c r="T506" s="402">
        <v>-463633.5</v>
      </c>
      <c r="U506" s="402">
        <v>13057.58</v>
      </c>
      <c r="V506" s="402">
        <v>0</v>
      </c>
      <c r="W506" s="402">
        <v>0</v>
      </c>
      <c r="X506" s="402">
        <v>0</v>
      </c>
      <c r="Y506" s="402">
        <v>0</v>
      </c>
      <c r="Z506" s="402">
        <v>0</v>
      </c>
      <c r="AA506" s="402">
        <v>178415.71</v>
      </c>
    </row>
    <row r="507" spans="10:27" ht="15" customHeight="1" x14ac:dyDescent="0.25">
      <c r="J507" s="400" t="s">
        <v>336</v>
      </c>
      <c r="K507" s="401" t="s">
        <v>1279</v>
      </c>
      <c r="L507" s="402" t="s">
        <v>1280</v>
      </c>
      <c r="M507" s="402">
        <v>263250.48</v>
      </c>
      <c r="N507" s="402">
        <v>0</v>
      </c>
      <c r="O507" s="402">
        <v>52582.5</v>
      </c>
      <c r="P507" s="402">
        <v>22233.33</v>
      </c>
      <c r="Q507" s="402">
        <v>27588.33</v>
      </c>
      <c r="R507" s="402">
        <v>50833.33</v>
      </c>
      <c r="S507" s="402">
        <v>49034.66</v>
      </c>
      <c r="T507" s="402">
        <v>-52855</v>
      </c>
      <c r="U507" s="402">
        <v>96833.33</v>
      </c>
      <c r="V507" s="402">
        <v>0</v>
      </c>
      <c r="W507" s="402">
        <v>17000</v>
      </c>
      <c r="X507" s="402">
        <v>0</v>
      </c>
      <c r="Y507" s="402">
        <v>0</v>
      </c>
      <c r="Z507" s="402">
        <v>0</v>
      </c>
      <c r="AA507" s="402">
        <v>263250.48</v>
      </c>
    </row>
    <row r="508" spans="10:27" ht="15" customHeight="1" x14ac:dyDescent="0.25">
      <c r="J508" s="400" t="s">
        <v>336</v>
      </c>
      <c r="K508" s="401" t="s">
        <v>1281</v>
      </c>
      <c r="L508" s="402" t="s">
        <v>1282</v>
      </c>
      <c r="M508" s="402">
        <v>1125459.02</v>
      </c>
      <c r="N508" s="402">
        <v>0</v>
      </c>
      <c r="O508" s="402">
        <v>249774.9</v>
      </c>
      <c r="P508" s="402">
        <v>49219.44</v>
      </c>
      <c r="Q508" s="402">
        <v>48013.91</v>
      </c>
      <c r="R508" s="402">
        <v>304167.23</v>
      </c>
      <c r="S508" s="402">
        <v>45183.94</v>
      </c>
      <c r="T508" s="402">
        <v>52055.01</v>
      </c>
      <c r="U508" s="402">
        <v>377044.59</v>
      </c>
      <c r="V508" s="402">
        <v>0</v>
      </c>
      <c r="W508" s="402">
        <v>0</v>
      </c>
      <c r="X508" s="402">
        <v>0</v>
      </c>
      <c r="Y508" s="402">
        <v>0</v>
      </c>
      <c r="Z508" s="402">
        <v>0</v>
      </c>
      <c r="AA508" s="402">
        <v>1125459.02</v>
      </c>
    </row>
    <row r="509" spans="10:27" ht="15" customHeight="1" x14ac:dyDescent="0.25">
      <c r="J509" s="400" t="s">
        <v>336</v>
      </c>
      <c r="K509" s="401" t="s">
        <v>1283</v>
      </c>
      <c r="L509" s="402" t="s">
        <v>1284</v>
      </c>
      <c r="M509" s="402">
        <v>1732.9</v>
      </c>
      <c r="N509" s="402">
        <v>0</v>
      </c>
      <c r="O509" s="402">
        <v>350</v>
      </c>
      <c r="P509" s="402">
        <v>495.4</v>
      </c>
      <c r="Q509" s="402">
        <v>0</v>
      </c>
      <c r="R509" s="402">
        <v>0</v>
      </c>
      <c r="S509" s="402">
        <v>887.5</v>
      </c>
      <c r="T509" s="402">
        <v>0</v>
      </c>
      <c r="U509" s="402">
        <v>0</v>
      </c>
      <c r="V509" s="402">
        <v>0</v>
      </c>
      <c r="W509" s="402">
        <v>0</v>
      </c>
      <c r="X509" s="402">
        <v>0</v>
      </c>
      <c r="Y509" s="402">
        <v>0</v>
      </c>
      <c r="Z509" s="402">
        <v>0</v>
      </c>
      <c r="AA509" s="402">
        <v>1732.9</v>
      </c>
    </row>
    <row r="510" spans="10:27" ht="15" customHeight="1" x14ac:dyDescent="0.25">
      <c r="J510" s="400" t="s">
        <v>336</v>
      </c>
      <c r="K510" s="401" t="s">
        <v>1285</v>
      </c>
      <c r="L510" s="402" t="s">
        <v>1286</v>
      </c>
      <c r="M510" s="402">
        <v>34600</v>
      </c>
      <c r="N510" s="402">
        <v>39936.601759999998</v>
      </c>
      <c r="O510" s="402">
        <v>34500</v>
      </c>
      <c r="P510" s="402">
        <v>100</v>
      </c>
      <c r="Q510" s="402">
        <v>0</v>
      </c>
      <c r="R510" s="402">
        <v>0</v>
      </c>
      <c r="S510" s="402">
        <v>0</v>
      </c>
      <c r="T510" s="402">
        <v>0</v>
      </c>
      <c r="U510" s="402">
        <v>0</v>
      </c>
      <c r="V510" s="402">
        <v>0</v>
      </c>
      <c r="W510" s="402">
        <v>0</v>
      </c>
      <c r="X510" s="402">
        <v>0</v>
      </c>
      <c r="Y510" s="402">
        <v>0</v>
      </c>
      <c r="Z510" s="402">
        <v>0</v>
      </c>
      <c r="AA510" s="402">
        <v>34600</v>
      </c>
    </row>
    <row r="511" spans="10:27" ht="15" customHeight="1" x14ac:dyDescent="0.25">
      <c r="J511" s="400" t="s">
        <v>336</v>
      </c>
      <c r="K511" s="401" t="s">
        <v>1287</v>
      </c>
      <c r="L511" s="402" t="s">
        <v>1288</v>
      </c>
      <c r="M511" s="402">
        <v>50677.760000000002</v>
      </c>
      <c r="N511" s="402">
        <v>183257</v>
      </c>
      <c r="O511" s="402">
        <v>2526.09</v>
      </c>
      <c r="P511" s="402">
        <v>11266.67</v>
      </c>
      <c r="Q511" s="402">
        <v>12533.63</v>
      </c>
      <c r="R511" s="402">
        <v>2392.71</v>
      </c>
      <c r="S511" s="402">
        <v>13845.08</v>
      </c>
      <c r="T511" s="402">
        <v>7438.45</v>
      </c>
      <c r="U511" s="402">
        <v>675.13</v>
      </c>
      <c r="V511" s="402">
        <v>0</v>
      </c>
      <c r="W511" s="402">
        <v>0</v>
      </c>
      <c r="X511" s="402">
        <v>0</v>
      </c>
      <c r="Y511" s="402">
        <v>0</v>
      </c>
      <c r="Z511" s="402">
        <v>0</v>
      </c>
      <c r="AA511" s="402">
        <v>50677.760000000002</v>
      </c>
    </row>
    <row r="512" spans="10:27" ht="15" customHeight="1" x14ac:dyDescent="0.25">
      <c r="J512" s="400" t="s">
        <v>336</v>
      </c>
      <c r="K512" s="401" t="s">
        <v>1289</v>
      </c>
      <c r="L512" s="402" t="s">
        <v>1290</v>
      </c>
      <c r="M512" s="402">
        <v>-7922.03</v>
      </c>
      <c r="N512" s="402">
        <v>0</v>
      </c>
      <c r="O512" s="402">
        <v>0</v>
      </c>
      <c r="P512" s="402">
        <v>-17999.57</v>
      </c>
      <c r="Q512" s="402">
        <v>0</v>
      </c>
      <c r="R512" s="402">
        <v>0</v>
      </c>
      <c r="S512" s="402">
        <v>0</v>
      </c>
      <c r="T512" s="402">
        <v>5077.54</v>
      </c>
      <c r="U512" s="402">
        <v>5000</v>
      </c>
      <c r="V512" s="402">
        <v>0</v>
      </c>
      <c r="W512" s="402">
        <v>0</v>
      </c>
      <c r="X512" s="402">
        <v>0</v>
      </c>
      <c r="Y512" s="402">
        <v>0</v>
      </c>
      <c r="Z512" s="402">
        <v>0</v>
      </c>
      <c r="AA512" s="402">
        <v>-7922.03</v>
      </c>
    </row>
    <row r="513" spans="10:27" ht="15" customHeight="1" x14ac:dyDescent="0.25">
      <c r="J513" s="400" t="s">
        <v>336</v>
      </c>
      <c r="K513" s="401" t="s">
        <v>1291</v>
      </c>
      <c r="L513" s="402" t="s">
        <v>1292</v>
      </c>
      <c r="M513" s="402">
        <v>691720.79</v>
      </c>
      <c r="N513" s="402">
        <v>409302.34699759999</v>
      </c>
      <c r="O513" s="402">
        <v>114113.58</v>
      </c>
      <c r="P513" s="402">
        <v>117615.78</v>
      </c>
      <c r="Q513" s="402">
        <v>126146.2</v>
      </c>
      <c r="R513" s="402">
        <v>128132.04</v>
      </c>
      <c r="S513" s="402">
        <v>70868.75</v>
      </c>
      <c r="T513" s="402">
        <v>40936.339999999997</v>
      </c>
      <c r="U513" s="402">
        <v>93908.1</v>
      </c>
      <c r="V513" s="402">
        <v>0</v>
      </c>
      <c r="W513" s="402">
        <v>0</v>
      </c>
      <c r="X513" s="402">
        <v>0</v>
      </c>
      <c r="Y513" s="402">
        <v>0</v>
      </c>
      <c r="Z513" s="402">
        <v>0</v>
      </c>
      <c r="AA513" s="402">
        <v>691720.79</v>
      </c>
    </row>
    <row r="514" spans="10:27" ht="15" customHeight="1" x14ac:dyDescent="0.25">
      <c r="J514" s="400" t="s">
        <v>336</v>
      </c>
      <c r="K514" s="401" t="s">
        <v>1293</v>
      </c>
      <c r="L514" s="402" t="s">
        <v>1294</v>
      </c>
      <c r="M514" s="402">
        <v>115021</v>
      </c>
      <c r="N514" s="402">
        <v>0</v>
      </c>
      <c r="O514" s="402">
        <v>115021</v>
      </c>
      <c r="P514" s="402">
        <v>0</v>
      </c>
      <c r="Q514" s="402">
        <v>0</v>
      </c>
      <c r="R514" s="402">
        <v>0</v>
      </c>
      <c r="S514" s="402">
        <v>0</v>
      </c>
      <c r="T514" s="402">
        <v>0</v>
      </c>
      <c r="U514" s="402">
        <v>0</v>
      </c>
      <c r="V514" s="402">
        <v>0</v>
      </c>
      <c r="W514" s="402">
        <v>0</v>
      </c>
      <c r="X514" s="402">
        <v>0</v>
      </c>
      <c r="Y514" s="402">
        <v>0</v>
      </c>
      <c r="Z514" s="402">
        <v>0</v>
      </c>
      <c r="AA514" s="402">
        <v>115021</v>
      </c>
    </row>
    <row r="515" spans="10:27" ht="15" customHeight="1" x14ac:dyDescent="0.25">
      <c r="J515" s="400" t="s">
        <v>336</v>
      </c>
      <c r="K515" s="401" t="s">
        <v>1295</v>
      </c>
      <c r="L515" s="402" t="s">
        <v>1296</v>
      </c>
      <c r="M515" s="402">
        <v>2449321.4</v>
      </c>
      <c r="N515" s="402">
        <v>102202.74712479999</v>
      </c>
      <c r="O515" s="402">
        <v>321124.81</v>
      </c>
      <c r="P515" s="402">
        <v>317586.78999999998</v>
      </c>
      <c r="Q515" s="402">
        <v>386534.11</v>
      </c>
      <c r="R515" s="402">
        <v>337246.73</v>
      </c>
      <c r="S515" s="402">
        <v>249421.66</v>
      </c>
      <c r="T515" s="402">
        <v>483289.74</v>
      </c>
      <c r="U515" s="402">
        <v>354117.56</v>
      </c>
      <c r="V515" s="402">
        <v>0</v>
      </c>
      <c r="W515" s="402">
        <v>0</v>
      </c>
      <c r="X515" s="402">
        <v>0</v>
      </c>
      <c r="Y515" s="402">
        <v>0</v>
      </c>
      <c r="Z515" s="402">
        <v>0</v>
      </c>
      <c r="AA515" s="402">
        <v>2449321.4</v>
      </c>
    </row>
    <row r="516" spans="10:27" ht="15" customHeight="1" x14ac:dyDescent="0.25">
      <c r="J516" s="400" t="s">
        <v>336</v>
      </c>
      <c r="K516" s="401" t="s">
        <v>1297</v>
      </c>
      <c r="L516" s="402" t="s">
        <v>1298</v>
      </c>
      <c r="M516" s="402">
        <v>20234618.02</v>
      </c>
      <c r="N516" s="402">
        <v>37198787</v>
      </c>
      <c r="O516" s="402">
        <v>2784395.63</v>
      </c>
      <c r="P516" s="402">
        <v>2910392.44</v>
      </c>
      <c r="Q516" s="402">
        <v>2845307.74</v>
      </c>
      <c r="R516" s="402">
        <v>2927050.94</v>
      </c>
      <c r="S516" s="402">
        <v>2789539.49</v>
      </c>
      <c r="T516" s="402">
        <v>3103807.82</v>
      </c>
      <c r="U516" s="402">
        <v>2874123.96</v>
      </c>
      <c r="V516" s="402">
        <v>0</v>
      </c>
      <c r="W516" s="402">
        <v>0</v>
      </c>
      <c r="X516" s="402">
        <v>0</v>
      </c>
      <c r="Y516" s="402">
        <v>0</v>
      </c>
      <c r="Z516" s="402">
        <v>0</v>
      </c>
      <c r="AA516" s="402">
        <v>20234618.02</v>
      </c>
    </row>
    <row r="517" spans="10:27" ht="15" customHeight="1" x14ac:dyDescent="0.25">
      <c r="J517" s="400" t="s">
        <v>336</v>
      </c>
      <c r="K517" s="401" t="s">
        <v>1299</v>
      </c>
      <c r="L517" s="402" t="s">
        <v>1300</v>
      </c>
      <c r="M517" s="402">
        <v>53579.27</v>
      </c>
      <c r="N517" s="402">
        <v>11500</v>
      </c>
      <c r="O517" s="402">
        <v>9500</v>
      </c>
      <c r="P517" s="402">
        <v>4100</v>
      </c>
      <c r="Q517" s="402">
        <v>3900</v>
      </c>
      <c r="R517" s="402">
        <v>9285.3799999999992</v>
      </c>
      <c r="S517" s="402">
        <v>15086.51</v>
      </c>
      <c r="T517" s="402">
        <v>5025</v>
      </c>
      <c r="U517" s="402">
        <v>6682.38</v>
      </c>
      <c r="V517" s="402">
        <v>0</v>
      </c>
      <c r="W517" s="402">
        <v>0</v>
      </c>
      <c r="X517" s="402">
        <v>0</v>
      </c>
      <c r="Y517" s="402">
        <v>0</v>
      </c>
      <c r="Z517" s="402">
        <v>0</v>
      </c>
      <c r="AA517" s="402">
        <v>53579.27</v>
      </c>
    </row>
    <row r="518" spans="10:27" ht="15" customHeight="1" x14ac:dyDescent="0.25">
      <c r="J518" s="400" t="s">
        <v>336</v>
      </c>
      <c r="K518" s="401" t="s">
        <v>1301</v>
      </c>
      <c r="L518" s="402" t="s">
        <v>1302</v>
      </c>
      <c r="M518" s="402">
        <v>28370.42</v>
      </c>
      <c r="N518" s="402">
        <v>0</v>
      </c>
      <c r="O518" s="402">
        <v>2571.38</v>
      </c>
      <c r="P518" s="402">
        <v>3883.52</v>
      </c>
      <c r="Q518" s="402">
        <v>5199.05</v>
      </c>
      <c r="R518" s="402">
        <v>2224.5</v>
      </c>
      <c r="S518" s="402">
        <v>4216.71</v>
      </c>
      <c r="T518" s="402">
        <v>4527</v>
      </c>
      <c r="U518" s="402">
        <v>5748.26</v>
      </c>
      <c r="V518" s="402">
        <v>0</v>
      </c>
      <c r="W518" s="402">
        <v>0</v>
      </c>
      <c r="X518" s="402">
        <v>0</v>
      </c>
      <c r="Y518" s="402">
        <v>0</v>
      </c>
      <c r="Z518" s="402">
        <v>0</v>
      </c>
      <c r="AA518" s="402">
        <v>28370.42</v>
      </c>
    </row>
    <row r="519" spans="10:27" ht="15" customHeight="1" x14ac:dyDescent="0.25">
      <c r="J519" s="400" t="s">
        <v>336</v>
      </c>
      <c r="K519" s="401" t="s">
        <v>1303</v>
      </c>
      <c r="L519" s="402" t="s">
        <v>1304</v>
      </c>
      <c r="M519" s="402">
        <v>-87767.51</v>
      </c>
      <c r="N519" s="402">
        <v>0</v>
      </c>
      <c r="O519" s="402">
        <v>-8088.1</v>
      </c>
      <c r="P519" s="402">
        <v>-7010.31</v>
      </c>
      <c r="Q519" s="402">
        <v>-19047.939999999999</v>
      </c>
      <c r="R519" s="402">
        <v>-10958.1</v>
      </c>
      <c r="S519" s="402">
        <v>-15701.24</v>
      </c>
      <c r="T519" s="402">
        <v>-18483.02</v>
      </c>
      <c r="U519" s="402">
        <v>-8478.7999999999993</v>
      </c>
      <c r="V519" s="402">
        <v>0</v>
      </c>
      <c r="W519" s="402">
        <v>0</v>
      </c>
      <c r="X519" s="402">
        <v>0</v>
      </c>
      <c r="Y519" s="402">
        <v>0</v>
      </c>
      <c r="Z519" s="402">
        <v>0</v>
      </c>
      <c r="AA519" s="402">
        <v>-87767.51</v>
      </c>
    </row>
    <row r="520" spans="10:27" ht="15" customHeight="1" x14ac:dyDescent="0.25">
      <c r="J520" s="400" t="s">
        <v>336</v>
      </c>
      <c r="K520" s="401" t="s">
        <v>1305</v>
      </c>
      <c r="L520" s="402" t="s">
        <v>1306</v>
      </c>
      <c r="M520" s="402">
        <v>20405279.059999999</v>
      </c>
      <c r="N520" s="402">
        <v>0</v>
      </c>
      <c r="O520" s="402">
        <v>2916358.87</v>
      </c>
      <c r="P520" s="402">
        <v>2916666.67</v>
      </c>
      <c r="Q520" s="402">
        <v>2915512.6</v>
      </c>
      <c r="R520" s="402">
        <v>2916666.67</v>
      </c>
      <c r="S520" s="402">
        <v>2916666.67</v>
      </c>
      <c r="T520" s="402">
        <v>2916666.67</v>
      </c>
      <c r="U520" s="402">
        <v>2906740.91</v>
      </c>
      <c r="V520" s="402">
        <v>0</v>
      </c>
      <c r="W520" s="402">
        <v>0</v>
      </c>
      <c r="X520" s="402">
        <v>0</v>
      </c>
      <c r="Y520" s="402">
        <v>0</v>
      </c>
      <c r="Z520" s="402">
        <v>0</v>
      </c>
      <c r="AA520" s="402">
        <v>20405279.059999999</v>
      </c>
    </row>
    <row r="521" spans="10:27" ht="15" customHeight="1" x14ac:dyDescent="0.25">
      <c r="J521" s="400" t="s">
        <v>336</v>
      </c>
      <c r="K521" s="401" t="s">
        <v>1307</v>
      </c>
      <c r="L521" s="402" t="s">
        <v>1308</v>
      </c>
      <c r="M521" s="402">
        <v>-20416666.690000001</v>
      </c>
      <c r="N521" s="402">
        <v>0</v>
      </c>
      <c r="O521" s="402">
        <v>-2916666.67</v>
      </c>
      <c r="P521" s="402">
        <v>-2916666.67</v>
      </c>
      <c r="Q521" s="402">
        <v>-2916666.67</v>
      </c>
      <c r="R521" s="402">
        <v>-2916666.67</v>
      </c>
      <c r="S521" s="402">
        <v>-2916666.67</v>
      </c>
      <c r="T521" s="402">
        <v>-2916666.67</v>
      </c>
      <c r="U521" s="402">
        <v>-2916666.67</v>
      </c>
      <c r="V521" s="402">
        <v>0</v>
      </c>
      <c r="W521" s="402">
        <v>0</v>
      </c>
      <c r="X521" s="402">
        <v>0</v>
      </c>
      <c r="Y521" s="402">
        <v>0</v>
      </c>
      <c r="Z521" s="402">
        <v>0</v>
      </c>
      <c r="AA521" s="402">
        <v>-20416666.690000001</v>
      </c>
    </row>
    <row r="522" spans="10:27" ht="15" customHeight="1" x14ac:dyDescent="0.25">
      <c r="J522" s="400" t="s">
        <v>336</v>
      </c>
      <c r="K522" s="401" t="s">
        <v>1309</v>
      </c>
      <c r="L522" s="402" t="s">
        <v>1310</v>
      </c>
      <c r="M522" s="402">
        <v>16.13</v>
      </c>
      <c r="N522" s="402">
        <v>1705113.6770752999</v>
      </c>
      <c r="O522" s="402">
        <v>0</v>
      </c>
      <c r="P522" s="402">
        <v>0</v>
      </c>
      <c r="Q522" s="402">
        <v>0</v>
      </c>
      <c r="R522" s="402">
        <v>0</v>
      </c>
      <c r="S522" s="402">
        <v>16.13</v>
      </c>
      <c r="T522" s="402">
        <v>0</v>
      </c>
      <c r="U522" s="402">
        <v>0</v>
      </c>
      <c r="V522" s="402">
        <v>0</v>
      </c>
      <c r="W522" s="402">
        <v>0</v>
      </c>
      <c r="X522" s="402">
        <v>0</v>
      </c>
      <c r="Y522" s="402">
        <v>0</v>
      </c>
      <c r="Z522" s="402">
        <v>0</v>
      </c>
      <c r="AA522" s="402">
        <v>16.13</v>
      </c>
    </row>
    <row r="523" spans="10:27" ht="15" customHeight="1" x14ac:dyDescent="0.25">
      <c r="J523" s="400" t="s">
        <v>336</v>
      </c>
      <c r="K523" s="401" t="s">
        <v>1311</v>
      </c>
      <c r="L523" s="402" t="s">
        <v>1312</v>
      </c>
      <c r="M523" s="402">
        <v>0</v>
      </c>
      <c r="N523" s="402">
        <v>215646.72974790001</v>
      </c>
      <c r="O523" s="402">
        <v>0</v>
      </c>
      <c r="P523" s="402">
        <v>0</v>
      </c>
      <c r="Q523" s="402">
        <v>0</v>
      </c>
      <c r="R523" s="402">
        <v>0</v>
      </c>
      <c r="S523" s="402">
        <v>0</v>
      </c>
      <c r="T523" s="402">
        <v>0</v>
      </c>
      <c r="U523" s="402">
        <v>0</v>
      </c>
      <c r="V523" s="402">
        <v>0</v>
      </c>
      <c r="W523" s="402">
        <v>0</v>
      </c>
      <c r="X523" s="402">
        <v>0</v>
      </c>
      <c r="Y523" s="402">
        <v>0</v>
      </c>
      <c r="Z523" s="402">
        <v>0</v>
      </c>
      <c r="AA523" s="402">
        <v>0</v>
      </c>
    </row>
    <row r="524" spans="10:27" ht="15" customHeight="1" x14ac:dyDescent="0.25">
      <c r="J524" s="400" t="s">
        <v>336</v>
      </c>
      <c r="K524" s="401" t="s">
        <v>1313</v>
      </c>
      <c r="L524" s="402" t="s">
        <v>1314</v>
      </c>
      <c r="M524" s="402">
        <v>-117.35</v>
      </c>
      <c r="N524" s="402">
        <v>0</v>
      </c>
      <c r="O524" s="402">
        <v>0</v>
      </c>
      <c r="P524" s="402">
        <v>0</v>
      </c>
      <c r="Q524" s="402">
        <v>0</v>
      </c>
      <c r="R524" s="402">
        <v>0</v>
      </c>
      <c r="S524" s="402">
        <v>0</v>
      </c>
      <c r="T524" s="402">
        <v>0</v>
      </c>
      <c r="U524" s="402">
        <v>-117.35</v>
      </c>
      <c r="V524" s="402">
        <v>0</v>
      </c>
      <c r="W524" s="402">
        <v>0</v>
      </c>
      <c r="X524" s="402">
        <v>0</v>
      </c>
      <c r="Y524" s="402">
        <v>0</v>
      </c>
      <c r="Z524" s="402">
        <v>0</v>
      </c>
      <c r="AA524" s="402">
        <v>-117.35</v>
      </c>
    </row>
    <row r="525" spans="10:27" ht="15" customHeight="1" x14ac:dyDescent="0.25">
      <c r="J525" s="400" t="s">
        <v>336</v>
      </c>
      <c r="K525" s="401" t="s">
        <v>1315</v>
      </c>
      <c r="L525" s="402" t="s">
        <v>1316</v>
      </c>
      <c r="M525" s="402">
        <v>-44799.14</v>
      </c>
      <c r="N525" s="402">
        <v>0</v>
      </c>
      <c r="O525" s="402">
        <v>16945.599999999999</v>
      </c>
      <c r="P525" s="402">
        <v>-20806.62</v>
      </c>
      <c r="Q525" s="402">
        <v>-15130.34</v>
      </c>
      <c r="R525" s="402">
        <v>-14944.72</v>
      </c>
      <c r="S525" s="402">
        <v>-8683.18</v>
      </c>
      <c r="T525" s="402">
        <v>-11044.17</v>
      </c>
      <c r="U525" s="402">
        <v>8864.2900000000009</v>
      </c>
      <c r="V525" s="402">
        <v>0</v>
      </c>
      <c r="W525" s="402">
        <v>0</v>
      </c>
      <c r="X525" s="402">
        <v>0</v>
      </c>
      <c r="Y525" s="402">
        <v>0</v>
      </c>
      <c r="Z525" s="402">
        <v>0</v>
      </c>
      <c r="AA525" s="402">
        <v>-44799.14</v>
      </c>
    </row>
    <row r="526" spans="10:27" ht="15" customHeight="1" x14ac:dyDescent="0.25">
      <c r="J526" s="400" t="s">
        <v>336</v>
      </c>
      <c r="K526" s="401" t="s">
        <v>1317</v>
      </c>
      <c r="L526" s="402" t="s">
        <v>1318</v>
      </c>
      <c r="M526" s="402">
        <v>0</v>
      </c>
      <c r="N526" s="402">
        <v>500</v>
      </c>
      <c r="O526" s="402">
        <v>0</v>
      </c>
      <c r="P526" s="402">
        <v>0</v>
      </c>
      <c r="Q526" s="402">
        <v>0</v>
      </c>
      <c r="R526" s="402">
        <v>0</v>
      </c>
      <c r="S526" s="402">
        <v>0</v>
      </c>
      <c r="T526" s="402">
        <v>0</v>
      </c>
      <c r="U526" s="402">
        <v>0</v>
      </c>
      <c r="V526" s="402">
        <v>0</v>
      </c>
      <c r="W526" s="402">
        <v>0</v>
      </c>
      <c r="X526" s="402">
        <v>0</v>
      </c>
      <c r="Y526" s="402">
        <v>0</v>
      </c>
      <c r="Z526" s="402">
        <v>0</v>
      </c>
      <c r="AA526" s="402">
        <v>0</v>
      </c>
    </row>
    <row r="527" spans="10:27" ht="15" customHeight="1" x14ac:dyDescent="0.25">
      <c r="J527" s="400" t="s">
        <v>336</v>
      </c>
      <c r="K527" s="401" t="s">
        <v>1319</v>
      </c>
      <c r="L527" s="402" t="s">
        <v>1320</v>
      </c>
      <c r="M527" s="402">
        <v>7669267.3899999997</v>
      </c>
      <c r="N527" s="402">
        <v>10592984.079187199</v>
      </c>
      <c r="O527" s="402">
        <v>750305.11</v>
      </c>
      <c r="P527" s="402">
        <v>1071294.68</v>
      </c>
      <c r="Q527" s="402">
        <v>1638463.33</v>
      </c>
      <c r="R527" s="402">
        <v>986628.4</v>
      </c>
      <c r="S527" s="402">
        <v>954331.68</v>
      </c>
      <c r="T527" s="402">
        <v>1467410.29</v>
      </c>
      <c r="U527" s="402">
        <v>800838.9</v>
      </c>
      <c r="V527" s="402">
        <v>-1</v>
      </c>
      <c r="W527" s="402">
        <v>-1</v>
      </c>
      <c r="X527" s="402">
        <v>-1</v>
      </c>
      <c r="Y527" s="402">
        <v>-1</v>
      </c>
      <c r="Z527" s="402">
        <v>-1</v>
      </c>
      <c r="AA527" s="402">
        <v>7669267.3899999997</v>
      </c>
    </row>
    <row r="528" spans="10:27" ht="15" customHeight="1" x14ac:dyDescent="0.25">
      <c r="J528" s="400" t="s">
        <v>336</v>
      </c>
      <c r="K528" s="401" t="s">
        <v>1321</v>
      </c>
      <c r="L528" s="402" t="s">
        <v>1322</v>
      </c>
      <c r="M528" s="402">
        <v>0</v>
      </c>
      <c r="N528" s="402">
        <v>100</v>
      </c>
      <c r="O528" s="402">
        <v>0</v>
      </c>
      <c r="P528" s="402">
        <v>0</v>
      </c>
      <c r="Q528" s="402">
        <v>0</v>
      </c>
      <c r="R528" s="402">
        <v>0</v>
      </c>
      <c r="S528" s="402">
        <v>0</v>
      </c>
      <c r="T528" s="402">
        <v>0</v>
      </c>
      <c r="U528" s="402">
        <v>0</v>
      </c>
      <c r="V528" s="402">
        <v>0</v>
      </c>
      <c r="W528" s="402">
        <v>0</v>
      </c>
      <c r="X528" s="402">
        <v>0</v>
      </c>
      <c r="Y528" s="402">
        <v>0</v>
      </c>
      <c r="Z528" s="402">
        <v>0</v>
      </c>
      <c r="AA528" s="402">
        <v>0</v>
      </c>
    </row>
    <row r="529" spans="10:27" ht="15" customHeight="1" x14ac:dyDescent="0.25">
      <c r="J529" s="400" t="s">
        <v>336</v>
      </c>
      <c r="K529" s="401" t="s">
        <v>1323</v>
      </c>
      <c r="L529" s="402" t="s">
        <v>1324</v>
      </c>
      <c r="M529" s="402">
        <v>-289787.09000000003</v>
      </c>
      <c r="N529" s="402">
        <v>2689519.1836466999</v>
      </c>
      <c r="O529" s="402">
        <v>240686.7</v>
      </c>
      <c r="P529" s="402">
        <v>-37507.870000000003</v>
      </c>
      <c r="Q529" s="402">
        <v>-581451.52000000002</v>
      </c>
      <c r="R529" s="402">
        <v>20929.189999999999</v>
      </c>
      <c r="S529" s="402">
        <v>30786.03</v>
      </c>
      <c r="T529" s="402">
        <v>-5329.46</v>
      </c>
      <c r="U529" s="402">
        <v>42099.839999999997</v>
      </c>
      <c r="V529" s="402">
        <v>0</v>
      </c>
      <c r="W529" s="402">
        <v>0</v>
      </c>
      <c r="X529" s="402">
        <v>0</v>
      </c>
      <c r="Y529" s="402">
        <v>0</v>
      </c>
      <c r="Z529" s="402">
        <v>0</v>
      </c>
      <c r="AA529" s="402">
        <v>-289787.09000000003</v>
      </c>
    </row>
    <row r="530" spans="10:27" ht="15" customHeight="1" x14ac:dyDescent="0.25">
      <c r="J530" s="400" t="s">
        <v>336</v>
      </c>
      <c r="K530" s="401" t="s">
        <v>1325</v>
      </c>
      <c r="L530" s="402" t="s">
        <v>1326</v>
      </c>
      <c r="M530" s="402">
        <v>268401</v>
      </c>
      <c r="N530" s="402">
        <v>460116</v>
      </c>
      <c r="O530" s="402">
        <v>38343</v>
      </c>
      <c r="P530" s="402">
        <v>38343</v>
      </c>
      <c r="Q530" s="402">
        <v>38343</v>
      </c>
      <c r="R530" s="402">
        <v>38343</v>
      </c>
      <c r="S530" s="402">
        <v>38343</v>
      </c>
      <c r="T530" s="402">
        <v>38343</v>
      </c>
      <c r="U530" s="402">
        <v>38343</v>
      </c>
      <c r="V530" s="402">
        <v>0</v>
      </c>
      <c r="W530" s="402">
        <v>0</v>
      </c>
      <c r="X530" s="402">
        <v>0</v>
      </c>
      <c r="Y530" s="402">
        <v>0</v>
      </c>
      <c r="Z530" s="402">
        <v>0</v>
      </c>
      <c r="AA530" s="402">
        <v>268401</v>
      </c>
    </row>
    <row r="531" spans="10:27" ht="15" customHeight="1" x14ac:dyDescent="0.25">
      <c r="J531" s="400" t="s">
        <v>336</v>
      </c>
      <c r="K531" s="401" t="s">
        <v>1327</v>
      </c>
      <c r="L531" s="402" t="s">
        <v>1328</v>
      </c>
      <c r="M531" s="402">
        <v>49278.65</v>
      </c>
      <c r="N531" s="402">
        <v>0</v>
      </c>
      <c r="O531" s="402">
        <v>307.8</v>
      </c>
      <c r="P531" s="402">
        <v>46074.11</v>
      </c>
      <c r="Q531" s="402">
        <v>1330.78</v>
      </c>
      <c r="R531" s="402">
        <v>311.95</v>
      </c>
      <c r="S531" s="402">
        <v>0</v>
      </c>
      <c r="T531" s="402">
        <v>0</v>
      </c>
      <c r="U531" s="402">
        <v>0</v>
      </c>
      <c r="V531" s="402">
        <v>1254.01</v>
      </c>
      <c r="W531" s="402">
        <v>0</v>
      </c>
      <c r="X531" s="402">
        <v>0</v>
      </c>
      <c r="Y531" s="402">
        <v>0</v>
      </c>
      <c r="Z531" s="402">
        <v>0</v>
      </c>
      <c r="AA531" s="402">
        <v>49278.65</v>
      </c>
    </row>
    <row r="532" spans="10:27" ht="15" customHeight="1" x14ac:dyDescent="0.25">
      <c r="J532" s="400" t="s">
        <v>336</v>
      </c>
      <c r="K532" s="401" t="s">
        <v>1329</v>
      </c>
      <c r="L532" s="402" t="s">
        <v>1330</v>
      </c>
      <c r="M532" s="402">
        <v>-13716655.279999999</v>
      </c>
      <c r="N532" s="402">
        <v>0</v>
      </c>
      <c r="O532" s="402">
        <v>-3030361.7</v>
      </c>
      <c r="P532" s="402">
        <v>-2433368.09</v>
      </c>
      <c r="Q532" s="402">
        <v>-1280175.05</v>
      </c>
      <c r="R532" s="402">
        <v>-1913136.89</v>
      </c>
      <c r="S532" s="402">
        <v>-1370220.41</v>
      </c>
      <c r="T532" s="402">
        <v>-1362471.07</v>
      </c>
      <c r="U532" s="402">
        <v>-2326922.0699999998</v>
      </c>
      <c r="V532" s="402">
        <v>0</v>
      </c>
      <c r="W532" s="402">
        <v>0</v>
      </c>
      <c r="X532" s="402">
        <v>0</v>
      </c>
      <c r="Y532" s="402">
        <v>0</v>
      </c>
      <c r="Z532" s="402">
        <v>0</v>
      </c>
      <c r="AA532" s="402">
        <v>-13716655.279999999</v>
      </c>
    </row>
    <row r="533" spans="10:27" ht="15" customHeight="1" x14ac:dyDescent="0.25">
      <c r="J533" s="400" t="s">
        <v>336</v>
      </c>
      <c r="K533" s="401" t="s">
        <v>1331</v>
      </c>
      <c r="L533" s="402" t="s">
        <v>1332</v>
      </c>
      <c r="M533" s="402">
        <v>-75753.759999999995</v>
      </c>
      <c r="N533" s="402">
        <v>0</v>
      </c>
      <c r="O533" s="402">
        <v>-11786.12</v>
      </c>
      <c r="P533" s="402">
        <v>-11625.21</v>
      </c>
      <c r="Q533" s="402">
        <v>-12930.01</v>
      </c>
      <c r="R533" s="402">
        <v>-10515.68</v>
      </c>
      <c r="S533" s="402">
        <v>-12605.28</v>
      </c>
      <c r="T533" s="402">
        <v>-6869.5</v>
      </c>
      <c r="U533" s="402">
        <v>-9421.9599999999991</v>
      </c>
      <c r="V533" s="402">
        <v>0</v>
      </c>
      <c r="W533" s="402">
        <v>0</v>
      </c>
      <c r="X533" s="402">
        <v>0</v>
      </c>
      <c r="Y533" s="402">
        <v>0</v>
      </c>
      <c r="Z533" s="402">
        <v>0</v>
      </c>
      <c r="AA533" s="402">
        <v>-75753.759999999995</v>
      </c>
    </row>
    <row r="534" spans="10:27" ht="15" customHeight="1" x14ac:dyDescent="0.25">
      <c r="J534" s="400" t="s">
        <v>336</v>
      </c>
      <c r="K534" s="401" t="s">
        <v>1333</v>
      </c>
      <c r="L534" s="402" t="s">
        <v>1334</v>
      </c>
      <c r="M534" s="402">
        <v>-53710.18</v>
      </c>
      <c r="N534" s="402">
        <v>0</v>
      </c>
      <c r="O534" s="402">
        <v>-467.65</v>
      </c>
      <c r="P534" s="402">
        <v>-753.97</v>
      </c>
      <c r="Q534" s="402">
        <v>-10256.530000000001</v>
      </c>
      <c r="R534" s="402">
        <v>-22991.61</v>
      </c>
      <c r="S534" s="402">
        <v>-14682.16</v>
      </c>
      <c r="T534" s="402">
        <v>-4080.96</v>
      </c>
      <c r="U534" s="402">
        <v>-477.3</v>
      </c>
      <c r="V534" s="402">
        <v>0</v>
      </c>
      <c r="W534" s="402">
        <v>0</v>
      </c>
      <c r="X534" s="402">
        <v>0</v>
      </c>
      <c r="Y534" s="402">
        <v>0</v>
      </c>
      <c r="Z534" s="402">
        <v>0</v>
      </c>
      <c r="AA534" s="402">
        <v>-53710.18</v>
      </c>
    </row>
    <row r="535" spans="10:27" ht="15" customHeight="1" x14ac:dyDescent="0.25">
      <c r="J535" s="400" t="s">
        <v>336</v>
      </c>
      <c r="K535" s="401" t="s">
        <v>1335</v>
      </c>
      <c r="L535" s="402" t="s">
        <v>1336</v>
      </c>
      <c r="M535" s="402">
        <v>-7729.54</v>
      </c>
      <c r="N535" s="402">
        <v>0</v>
      </c>
      <c r="O535" s="402">
        <v>-107.6</v>
      </c>
      <c r="P535" s="402">
        <v>-359.01</v>
      </c>
      <c r="Q535" s="402">
        <v>-2585.7399999999998</v>
      </c>
      <c r="R535" s="402">
        <v>-1648.26</v>
      </c>
      <c r="S535" s="402">
        <v>-2044.65</v>
      </c>
      <c r="T535" s="402">
        <v>-918.11</v>
      </c>
      <c r="U535" s="402">
        <v>-66.17</v>
      </c>
      <c r="V535" s="402">
        <v>0</v>
      </c>
      <c r="W535" s="402">
        <v>0</v>
      </c>
      <c r="X535" s="402">
        <v>0</v>
      </c>
      <c r="Y535" s="402">
        <v>0</v>
      </c>
      <c r="Z535" s="402">
        <v>0</v>
      </c>
      <c r="AA535" s="402">
        <v>-7729.54</v>
      </c>
    </row>
    <row r="536" spans="10:27" ht="15" customHeight="1" x14ac:dyDescent="0.25">
      <c r="J536" s="400" t="s">
        <v>336</v>
      </c>
      <c r="K536" s="401" t="s">
        <v>1337</v>
      </c>
      <c r="L536" s="402" t="s">
        <v>1338</v>
      </c>
      <c r="M536" s="402">
        <v>-1630019.34</v>
      </c>
      <c r="N536" s="402">
        <v>0</v>
      </c>
      <c r="O536" s="402">
        <v>-208621.54</v>
      </c>
      <c r="P536" s="402">
        <v>-387805.09</v>
      </c>
      <c r="Q536" s="402">
        <v>-189574.13</v>
      </c>
      <c r="R536" s="402">
        <v>-206534.45</v>
      </c>
      <c r="S536" s="402">
        <v>-286147.03000000003</v>
      </c>
      <c r="T536" s="402">
        <v>-208922.07</v>
      </c>
      <c r="U536" s="402">
        <v>-142415.03</v>
      </c>
      <c r="V536" s="402">
        <v>0</v>
      </c>
      <c r="W536" s="402">
        <v>0</v>
      </c>
      <c r="X536" s="402">
        <v>0</v>
      </c>
      <c r="Y536" s="402">
        <v>0</v>
      </c>
      <c r="Z536" s="402">
        <v>0</v>
      </c>
      <c r="AA536" s="402">
        <v>-1630019.34</v>
      </c>
    </row>
    <row r="537" spans="10:27" ht="15" customHeight="1" x14ac:dyDescent="0.25">
      <c r="J537" s="400" t="s">
        <v>336</v>
      </c>
      <c r="K537" s="401" t="s">
        <v>1339</v>
      </c>
      <c r="L537" s="402" t="s">
        <v>1340</v>
      </c>
      <c r="M537" s="402">
        <v>-14409.66</v>
      </c>
      <c r="N537" s="402">
        <v>0</v>
      </c>
      <c r="O537" s="402">
        <v>-681.7</v>
      </c>
      <c r="P537" s="402">
        <v>-557.14</v>
      </c>
      <c r="Q537" s="402">
        <v>-763.59</v>
      </c>
      <c r="R537" s="402">
        <v>-677.77</v>
      </c>
      <c r="S537" s="402">
        <v>-299.66000000000003</v>
      </c>
      <c r="T537" s="402">
        <v>-3114.25</v>
      </c>
      <c r="U537" s="402">
        <v>-8315.5499999999993</v>
      </c>
      <c r="V537" s="402">
        <v>0</v>
      </c>
      <c r="W537" s="402">
        <v>0</v>
      </c>
      <c r="X537" s="402">
        <v>0</v>
      </c>
      <c r="Y537" s="402">
        <v>0</v>
      </c>
      <c r="Z537" s="402">
        <v>0</v>
      </c>
      <c r="AA537" s="402">
        <v>-14409.66</v>
      </c>
    </row>
    <row r="538" spans="10:27" ht="15" customHeight="1" x14ac:dyDescent="0.25">
      <c r="J538" s="400" t="s">
        <v>336</v>
      </c>
      <c r="K538" s="401" t="s">
        <v>1341</v>
      </c>
      <c r="L538" s="402" t="s">
        <v>1342</v>
      </c>
      <c r="M538" s="402">
        <v>-15492186.439999999</v>
      </c>
      <c r="N538" s="402">
        <v>0</v>
      </c>
      <c r="O538" s="402">
        <v>-1448189.37</v>
      </c>
      <c r="P538" s="402">
        <v>-1552542.01</v>
      </c>
      <c r="Q538" s="402">
        <v>-2608478.7599999998</v>
      </c>
      <c r="R538" s="402">
        <v>-2171873.16</v>
      </c>
      <c r="S538" s="402">
        <v>-2896393.94</v>
      </c>
      <c r="T538" s="402">
        <v>-2955394.93</v>
      </c>
      <c r="U538" s="402">
        <v>-1859314.27</v>
      </c>
      <c r="V538" s="402">
        <v>0</v>
      </c>
      <c r="W538" s="402">
        <v>0</v>
      </c>
      <c r="X538" s="402">
        <v>0</v>
      </c>
      <c r="Y538" s="402">
        <v>0</v>
      </c>
      <c r="Z538" s="402">
        <v>0</v>
      </c>
      <c r="AA538" s="402">
        <v>-15492186.439999999</v>
      </c>
    </row>
    <row r="539" spans="10:27" ht="15" customHeight="1" x14ac:dyDescent="0.25">
      <c r="J539" s="400" t="s">
        <v>336</v>
      </c>
      <c r="K539" s="401" t="s">
        <v>1343</v>
      </c>
      <c r="L539" s="402" t="s">
        <v>1344</v>
      </c>
      <c r="M539" s="402">
        <v>-16647679.949999999</v>
      </c>
      <c r="N539" s="402">
        <v>0</v>
      </c>
      <c r="O539" s="402">
        <v>-2218575.2200000002</v>
      </c>
      <c r="P539" s="402">
        <v>-2142385.38</v>
      </c>
      <c r="Q539" s="402">
        <v>-2095478.12</v>
      </c>
      <c r="R539" s="402">
        <v>-2042307.96</v>
      </c>
      <c r="S539" s="402">
        <v>-2524488.56</v>
      </c>
      <c r="T539" s="402">
        <v>-2524411.87</v>
      </c>
      <c r="U539" s="402">
        <v>-3100032.84</v>
      </c>
      <c r="V539" s="402">
        <v>0</v>
      </c>
      <c r="W539" s="402">
        <v>0</v>
      </c>
      <c r="X539" s="402">
        <v>0</v>
      </c>
      <c r="Y539" s="402">
        <v>0</v>
      </c>
      <c r="Z539" s="402">
        <v>0</v>
      </c>
      <c r="AA539" s="402">
        <v>-16647679.949999999</v>
      </c>
    </row>
    <row r="540" spans="10:27" ht="15" customHeight="1" x14ac:dyDescent="0.25">
      <c r="J540" s="400" t="s">
        <v>336</v>
      </c>
      <c r="K540" s="401" t="s">
        <v>1345</v>
      </c>
      <c r="L540" s="402" t="s">
        <v>1346</v>
      </c>
      <c r="M540" s="402">
        <v>1838.08</v>
      </c>
      <c r="N540" s="402">
        <v>0</v>
      </c>
      <c r="O540" s="402">
        <v>0</v>
      </c>
      <c r="P540" s="402">
        <v>0</v>
      </c>
      <c r="Q540" s="402">
        <v>1838.08</v>
      </c>
      <c r="R540" s="402">
        <v>0</v>
      </c>
      <c r="S540" s="402">
        <v>0</v>
      </c>
      <c r="T540" s="402">
        <v>0</v>
      </c>
      <c r="U540" s="402">
        <v>0</v>
      </c>
      <c r="V540" s="402">
        <v>0</v>
      </c>
      <c r="W540" s="402">
        <v>0</v>
      </c>
      <c r="X540" s="402">
        <v>0</v>
      </c>
      <c r="Y540" s="402">
        <v>0</v>
      </c>
      <c r="Z540" s="402">
        <v>0</v>
      </c>
      <c r="AA540" s="402">
        <v>1838.08</v>
      </c>
    </row>
    <row r="541" spans="10:27" ht="15" customHeight="1" x14ac:dyDescent="0.25">
      <c r="J541" s="400" t="s">
        <v>336</v>
      </c>
      <c r="K541" s="401" t="s">
        <v>1347</v>
      </c>
      <c r="L541" s="402" t="s">
        <v>1348</v>
      </c>
      <c r="M541" s="402">
        <v>-3664720.69</v>
      </c>
      <c r="N541" s="402">
        <v>0</v>
      </c>
      <c r="O541" s="402">
        <v>-531115.53</v>
      </c>
      <c r="P541" s="402">
        <v>-477470.98</v>
      </c>
      <c r="Q541" s="402">
        <v>-417149.95</v>
      </c>
      <c r="R541" s="402">
        <v>-469495.78</v>
      </c>
      <c r="S541" s="402">
        <v>-530628.80000000005</v>
      </c>
      <c r="T541" s="402">
        <v>-737752.06</v>
      </c>
      <c r="U541" s="402">
        <v>-501107.59</v>
      </c>
      <c r="V541" s="402">
        <v>0</v>
      </c>
      <c r="W541" s="402">
        <v>0</v>
      </c>
      <c r="X541" s="402">
        <v>0</v>
      </c>
      <c r="Y541" s="402">
        <v>0</v>
      </c>
      <c r="Z541" s="402">
        <v>0</v>
      </c>
      <c r="AA541" s="402">
        <v>-3664720.69</v>
      </c>
    </row>
    <row r="542" spans="10:27" ht="15" customHeight="1" x14ac:dyDescent="0.25">
      <c r="J542" s="400" t="s">
        <v>336</v>
      </c>
      <c r="K542" s="401" t="s">
        <v>1349</v>
      </c>
      <c r="L542" s="402" t="s">
        <v>1350</v>
      </c>
      <c r="M542" s="402">
        <v>-7104889.7999999998</v>
      </c>
      <c r="N542" s="402">
        <v>0</v>
      </c>
      <c r="O542" s="402">
        <v>-1011492.02</v>
      </c>
      <c r="P542" s="402">
        <v>-978769.81</v>
      </c>
      <c r="Q542" s="402">
        <v>-1019450.51</v>
      </c>
      <c r="R542" s="402">
        <v>-1051740.8899999999</v>
      </c>
      <c r="S542" s="402">
        <v>-905271.35</v>
      </c>
      <c r="T542" s="402">
        <v>-1064674.07</v>
      </c>
      <c r="U542" s="402">
        <v>-1073491.1499999999</v>
      </c>
      <c r="V542" s="402">
        <v>0</v>
      </c>
      <c r="W542" s="402">
        <v>0</v>
      </c>
      <c r="X542" s="402">
        <v>0</v>
      </c>
      <c r="Y542" s="402">
        <v>0</v>
      </c>
      <c r="Z542" s="402">
        <v>0</v>
      </c>
      <c r="AA542" s="402">
        <v>-7104889.7999999998</v>
      </c>
    </row>
    <row r="543" spans="10:27" ht="15" customHeight="1" x14ac:dyDescent="0.25">
      <c r="J543" s="400" t="s">
        <v>336</v>
      </c>
      <c r="K543" s="401" t="s">
        <v>1351</v>
      </c>
      <c r="L543" s="402" t="s">
        <v>1352</v>
      </c>
      <c r="M543" s="402">
        <v>-207471.81</v>
      </c>
      <c r="N543" s="402">
        <v>0</v>
      </c>
      <c r="O543" s="402">
        <v>-29638.83</v>
      </c>
      <c r="P543" s="402">
        <v>-29638.83</v>
      </c>
      <c r="Q543" s="402">
        <v>-29638.83</v>
      </c>
      <c r="R543" s="402">
        <v>-29638.83</v>
      </c>
      <c r="S543" s="402">
        <v>-29638.83</v>
      </c>
      <c r="T543" s="402">
        <v>-29638.83</v>
      </c>
      <c r="U543" s="402">
        <v>-29638.83</v>
      </c>
      <c r="V543" s="402">
        <v>0</v>
      </c>
      <c r="W543" s="402">
        <v>0</v>
      </c>
      <c r="X543" s="402">
        <v>0</v>
      </c>
      <c r="Y543" s="402">
        <v>0</v>
      </c>
      <c r="Z543" s="402">
        <v>0</v>
      </c>
      <c r="AA543" s="402">
        <v>-207471.81</v>
      </c>
    </row>
    <row r="544" spans="10:27" ht="15" customHeight="1" x14ac:dyDescent="0.25">
      <c r="J544" s="400" t="s">
        <v>336</v>
      </c>
      <c r="K544" s="401" t="s">
        <v>1353</v>
      </c>
      <c r="L544" s="402" t="s">
        <v>1354</v>
      </c>
      <c r="M544" s="402">
        <v>-192571.12</v>
      </c>
      <c r="N544" s="402">
        <v>0</v>
      </c>
      <c r="O544" s="402">
        <v>-27510.16</v>
      </c>
      <c r="P544" s="402">
        <v>-27510.16</v>
      </c>
      <c r="Q544" s="402">
        <v>-27510.16</v>
      </c>
      <c r="R544" s="402">
        <v>-27510.16</v>
      </c>
      <c r="S544" s="402">
        <v>-27510.16</v>
      </c>
      <c r="T544" s="402">
        <v>-27510.16</v>
      </c>
      <c r="U544" s="402">
        <v>-27510.16</v>
      </c>
      <c r="V544" s="402">
        <v>0</v>
      </c>
      <c r="W544" s="402">
        <v>0</v>
      </c>
      <c r="X544" s="402">
        <v>0</v>
      </c>
      <c r="Y544" s="402">
        <v>0</v>
      </c>
      <c r="Z544" s="402">
        <v>0</v>
      </c>
      <c r="AA544" s="402">
        <v>-192571.12</v>
      </c>
    </row>
    <row r="545" spans="10:27" ht="15" customHeight="1" x14ac:dyDescent="0.25">
      <c r="J545" s="400" t="s">
        <v>336</v>
      </c>
      <c r="K545" s="401" t="s">
        <v>1355</v>
      </c>
      <c r="L545" s="402" t="s">
        <v>1356</v>
      </c>
      <c r="M545" s="402">
        <v>-622163.6</v>
      </c>
      <c r="N545" s="402">
        <v>0</v>
      </c>
      <c r="O545" s="402">
        <v>-152706.39000000001</v>
      </c>
      <c r="P545" s="402">
        <v>-1224.1600000000001</v>
      </c>
      <c r="Q545" s="402">
        <v>-80111.509999999995</v>
      </c>
      <c r="R545" s="402">
        <v>-112504.38</v>
      </c>
      <c r="S545" s="402">
        <v>-98206.09</v>
      </c>
      <c r="T545" s="402">
        <v>-97162.85</v>
      </c>
      <c r="U545" s="402">
        <v>-80248.22</v>
      </c>
      <c r="V545" s="402">
        <v>0</v>
      </c>
      <c r="W545" s="402">
        <v>0</v>
      </c>
      <c r="X545" s="402">
        <v>0</v>
      </c>
      <c r="Y545" s="402">
        <v>0</v>
      </c>
      <c r="Z545" s="402">
        <v>0</v>
      </c>
      <c r="AA545" s="402">
        <v>-622163.6</v>
      </c>
    </row>
    <row r="546" spans="10:27" ht="15" customHeight="1" x14ac:dyDescent="0.25">
      <c r="J546" s="400" t="s">
        <v>336</v>
      </c>
      <c r="K546" s="401" t="s">
        <v>1357</v>
      </c>
      <c r="L546" s="402" t="s">
        <v>1358</v>
      </c>
      <c r="M546" s="402">
        <v>-225631.85</v>
      </c>
      <c r="N546" s="402">
        <v>0</v>
      </c>
      <c r="O546" s="402">
        <v>-34781.629999999997</v>
      </c>
      <c r="P546" s="402">
        <v>-29744.1</v>
      </c>
      <c r="Q546" s="402">
        <v>-36303.68</v>
      </c>
      <c r="R546" s="402">
        <v>-30019.96</v>
      </c>
      <c r="S546" s="402">
        <v>-24893.31</v>
      </c>
      <c r="T546" s="402">
        <v>-33202.21</v>
      </c>
      <c r="U546" s="402">
        <v>-36686.959999999999</v>
      </c>
      <c r="V546" s="402">
        <v>0</v>
      </c>
      <c r="W546" s="402">
        <v>0</v>
      </c>
      <c r="X546" s="402">
        <v>0</v>
      </c>
      <c r="Y546" s="402">
        <v>0</v>
      </c>
      <c r="Z546" s="402">
        <v>0</v>
      </c>
      <c r="AA546" s="402">
        <v>-225631.85</v>
      </c>
    </row>
    <row r="547" spans="10:27" ht="15" customHeight="1" x14ac:dyDescent="0.25">
      <c r="J547" s="400" t="s">
        <v>336</v>
      </c>
      <c r="K547" s="401" t="s">
        <v>1359</v>
      </c>
      <c r="L547" s="402" t="s">
        <v>1360</v>
      </c>
      <c r="M547" s="402">
        <v>-339917.84</v>
      </c>
      <c r="N547" s="402">
        <v>0</v>
      </c>
      <c r="O547" s="402">
        <v>-35035.06</v>
      </c>
      <c r="P547" s="402">
        <v>-60058.62</v>
      </c>
      <c r="Q547" s="402">
        <v>-48570.26</v>
      </c>
      <c r="R547" s="402">
        <v>-45134.62</v>
      </c>
      <c r="S547" s="402">
        <v>-49669.69</v>
      </c>
      <c r="T547" s="402">
        <v>-55283.14</v>
      </c>
      <c r="U547" s="402">
        <v>-46166.45</v>
      </c>
      <c r="V547" s="402">
        <v>0</v>
      </c>
      <c r="W547" s="402">
        <v>0</v>
      </c>
      <c r="X547" s="402">
        <v>0</v>
      </c>
      <c r="Y547" s="402">
        <v>0</v>
      </c>
      <c r="Z547" s="402">
        <v>0</v>
      </c>
      <c r="AA547" s="402">
        <v>-339917.84</v>
      </c>
    </row>
    <row r="548" spans="10:27" ht="15" customHeight="1" x14ac:dyDescent="0.25">
      <c r="J548" s="400" t="s">
        <v>336</v>
      </c>
      <c r="K548" s="401" t="s">
        <v>1361</v>
      </c>
      <c r="L548" s="402" t="s">
        <v>1362</v>
      </c>
      <c r="M548" s="402">
        <v>-488416.09497159999</v>
      </c>
      <c r="N548" s="402">
        <v>0</v>
      </c>
      <c r="O548" s="402">
        <v>0</v>
      </c>
      <c r="P548" s="402">
        <v>0</v>
      </c>
      <c r="Q548" s="402">
        <v>0</v>
      </c>
      <c r="R548" s="402">
        <v>0</v>
      </c>
      <c r="S548" s="402">
        <v>0</v>
      </c>
      <c r="T548" s="402">
        <v>0</v>
      </c>
      <c r="U548" s="402">
        <v>0</v>
      </c>
      <c r="V548" s="402">
        <v>-45617.5</v>
      </c>
      <c r="W548" s="402">
        <v>-110699.6487429</v>
      </c>
      <c r="X548" s="402">
        <v>-110699.6487429</v>
      </c>
      <c r="Y548" s="402">
        <v>-110699.6487429</v>
      </c>
      <c r="Z548" s="402">
        <v>-110699.6487429</v>
      </c>
      <c r="AA548" s="402">
        <v>-488416.09497159999</v>
      </c>
    </row>
    <row r="549" spans="10:27" ht="15" customHeight="1" x14ac:dyDescent="0.25">
      <c r="J549" s="400" t="s">
        <v>336</v>
      </c>
      <c r="K549" s="401" t="s">
        <v>1363</v>
      </c>
      <c r="L549" s="402" t="s">
        <v>1364</v>
      </c>
      <c r="M549" s="402">
        <v>-8554.5381128999998</v>
      </c>
      <c r="N549" s="402">
        <v>0</v>
      </c>
      <c r="O549" s="402">
        <v>0</v>
      </c>
      <c r="P549" s="402">
        <v>0</v>
      </c>
      <c r="Q549" s="402">
        <v>0</v>
      </c>
      <c r="R549" s="402">
        <v>0</v>
      </c>
      <c r="S549" s="402">
        <v>0</v>
      </c>
      <c r="T549" s="402">
        <v>0</v>
      </c>
      <c r="U549" s="402">
        <v>0</v>
      </c>
      <c r="V549" s="402">
        <v>-2007.9643593000001</v>
      </c>
      <c r="W549" s="402">
        <v>-1683.8346268</v>
      </c>
      <c r="X549" s="402">
        <v>-1589.45225</v>
      </c>
      <c r="Y549" s="402">
        <v>-1589.45225</v>
      </c>
      <c r="Z549" s="402">
        <v>-1683.8346268</v>
      </c>
      <c r="AA549" s="402">
        <v>-8554.5381128999998</v>
      </c>
    </row>
    <row r="550" spans="10:27" ht="15" customHeight="1" x14ac:dyDescent="0.25">
      <c r="J550" s="400" t="s">
        <v>336</v>
      </c>
      <c r="K550" s="401" t="s">
        <v>1365</v>
      </c>
      <c r="L550" s="402" t="s">
        <v>1366</v>
      </c>
      <c r="M550" s="402">
        <v>-151950.27704459999</v>
      </c>
      <c r="N550" s="402">
        <v>0</v>
      </c>
      <c r="O550" s="402">
        <v>0</v>
      </c>
      <c r="P550" s="402">
        <v>0</v>
      </c>
      <c r="Q550" s="402">
        <v>0</v>
      </c>
      <c r="R550" s="402">
        <v>0</v>
      </c>
      <c r="S550" s="402">
        <v>0</v>
      </c>
      <c r="T550" s="402">
        <v>0</v>
      </c>
      <c r="U550" s="402">
        <v>0</v>
      </c>
      <c r="V550" s="402">
        <v>-32056.034660699999</v>
      </c>
      <c r="W550" s="402">
        <v>-29268.553254599999</v>
      </c>
      <c r="X550" s="402">
        <v>-30662.292447799999</v>
      </c>
      <c r="Y550" s="402">
        <v>-30678.9464367</v>
      </c>
      <c r="Z550" s="402">
        <v>-29284.450244799998</v>
      </c>
      <c r="AA550" s="402">
        <v>-151950.27704459999</v>
      </c>
    </row>
    <row r="551" spans="10:27" ht="15" customHeight="1" x14ac:dyDescent="0.25">
      <c r="J551" s="400" t="s">
        <v>336</v>
      </c>
      <c r="K551" s="401" t="s">
        <v>1367</v>
      </c>
      <c r="L551" s="402" t="s">
        <v>1368</v>
      </c>
      <c r="M551" s="402">
        <v>-76030</v>
      </c>
      <c r="N551" s="402">
        <v>0</v>
      </c>
      <c r="O551" s="402">
        <v>0</v>
      </c>
      <c r="P551" s="402">
        <v>0</v>
      </c>
      <c r="Q551" s="402">
        <v>0</v>
      </c>
      <c r="R551" s="402">
        <v>0</v>
      </c>
      <c r="S551" s="402">
        <v>0</v>
      </c>
      <c r="T551" s="402">
        <v>0</v>
      </c>
      <c r="U551" s="402">
        <v>0</v>
      </c>
      <c r="V551" s="402">
        <v>-15206</v>
      </c>
      <c r="W551" s="402">
        <v>-15206</v>
      </c>
      <c r="X551" s="402">
        <v>-15206</v>
      </c>
      <c r="Y551" s="402">
        <v>-15206</v>
      </c>
      <c r="Z551" s="402">
        <v>-15206</v>
      </c>
      <c r="AA551" s="402">
        <v>-76030</v>
      </c>
    </row>
    <row r="552" spans="10:27" ht="15" customHeight="1" x14ac:dyDescent="0.25">
      <c r="J552" s="400" t="s">
        <v>336</v>
      </c>
      <c r="K552" s="401" t="s">
        <v>1369</v>
      </c>
      <c r="L552" s="402" t="s">
        <v>1370</v>
      </c>
      <c r="M552" s="402">
        <v>0</v>
      </c>
      <c r="N552" s="402">
        <v>-156000</v>
      </c>
      <c r="O552" s="402">
        <v>0</v>
      </c>
      <c r="P552" s="402">
        <v>0</v>
      </c>
      <c r="Q552" s="402">
        <v>0</v>
      </c>
      <c r="R552" s="402">
        <v>0</v>
      </c>
      <c r="S552" s="402">
        <v>0</v>
      </c>
      <c r="T552" s="402">
        <v>0</v>
      </c>
      <c r="U552" s="402">
        <v>0</v>
      </c>
      <c r="V552" s="402">
        <v>0</v>
      </c>
      <c r="W552" s="402">
        <v>0</v>
      </c>
      <c r="X552" s="402">
        <v>0</v>
      </c>
      <c r="Y552" s="402">
        <v>0</v>
      </c>
      <c r="Z552" s="402">
        <v>0</v>
      </c>
      <c r="AA552" s="402">
        <v>0</v>
      </c>
    </row>
    <row r="553" spans="10:27" ht="15" customHeight="1" x14ac:dyDescent="0.25">
      <c r="J553" s="400" t="s">
        <v>336</v>
      </c>
      <c r="K553" s="401" t="s">
        <v>1371</v>
      </c>
      <c r="L553" s="402" t="s">
        <v>1372</v>
      </c>
      <c r="M553" s="402">
        <v>-2965269.0658996999</v>
      </c>
      <c r="N553" s="402">
        <v>-6937529.9782983996</v>
      </c>
      <c r="O553" s="402">
        <v>0</v>
      </c>
      <c r="P553" s="402">
        <v>0</v>
      </c>
      <c r="Q553" s="402">
        <v>0</v>
      </c>
      <c r="R553" s="402">
        <v>0</v>
      </c>
      <c r="S553" s="402">
        <v>0</v>
      </c>
      <c r="T553" s="402">
        <v>0</v>
      </c>
      <c r="U553" s="402">
        <v>0</v>
      </c>
      <c r="V553" s="402">
        <v>-497948.5397652</v>
      </c>
      <c r="W553" s="402">
        <v>-695799.93019059999</v>
      </c>
      <c r="X553" s="402">
        <v>-520019.82170099998</v>
      </c>
      <c r="Y553" s="402">
        <v>-550577.90573230002</v>
      </c>
      <c r="Z553" s="402">
        <v>-700922.86851059995</v>
      </c>
      <c r="AA553" s="402">
        <v>-2965269.0658996999</v>
      </c>
    </row>
    <row r="554" spans="10:27" ht="15" customHeight="1" x14ac:dyDescent="0.25">
      <c r="J554" s="400" t="s">
        <v>336</v>
      </c>
      <c r="K554" s="401" t="s">
        <v>1373</v>
      </c>
      <c r="L554" s="402" t="s">
        <v>1374</v>
      </c>
      <c r="M554" s="402">
        <v>-5053523.4842416998</v>
      </c>
      <c r="N554" s="402">
        <v>-11925840.609510699</v>
      </c>
      <c r="O554" s="402">
        <v>0</v>
      </c>
      <c r="P554" s="402">
        <v>0</v>
      </c>
      <c r="Q554" s="402">
        <v>0</v>
      </c>
      <c r="R554" s="402">
        <v>0</v>
      </c>
      <c r="S554" s="402">
        <v>0</v>
      </c>
      <c r="T554" s="402">
        <v>0</v>
      </c>
      <c r="U554" s="402">
        <v>0</v>
      </c>
      <c r="V554" s="402">
        <v>-1018876.4762584</v>
      </c>
      <c r="W554" s="402">
        <v>-946447.36474660004</v>
      </c>
      <c r="X554" s="402">
        <v>-1126979.2263941001</v>
      </c>
      <c r="Y554" s="402">
        <v>-971383.90105079999</v>
      </c>
      <c r="Z554" s="402">
        <v>-989836.51579179999</v>
      </c>
      <c r="AA554" s="402">
        <v>-5053523.4842416998</v>
      </c>
    </row>
    <row r="555" spans="10:27" ht="15" customHeight="1" x14ac:dyDescent="0.25">
      <c r="J555" s="400" t="s">
        <v>336</v>
      </c>
      <c r="K555" s="401" t="s">
        <v>1375</v>
      </c>
      <c r="L555" s="402" t="s">
        <v>1376</v>
      </c>
      <c r="M555" s="402">
        <v>-866638.72073099995</v>
      </c>
      <c r="N555" s="402">
        <v>-1173020.8815168</v>
      </c>
      <c r="O555" s="402">
        <v>0</v>
      </c>
      <c r="P555" s="402">
        <v>0</v>
      </c>
      <c r="Q555" s="402">
        <v>0</v>
      </c>
      <c r="R555" s="402">
        <v>0</v>
      </c>
      <c r="S555" s="402">
        <v>0</v>
      </c>
      <c r="T555" s="402">
        <v>0</v>
      </c>
      <c r="U555" s="402">
        <v>0</v>
      </c>
      <c r="V555" s="402">
        <v>-173327.74414620001</v>
      </c>
      <c r="W555" s="402">
        <v>-173327.74414620001</v>
      </c>
      <c r="X555" s="402">
        <v>-173327.74414620001</v>
      </c>
      <c r="Y555" s="402">
        <v>-173327.74414620001</v>
      </c>
      <c r="Z555" s="402">
        <v>-173327.74414620001</v>
      </c>
      <c r="AA555" s="402">
        <v>-866638.72073099995</v>
      </c>
    </row>
    <row r="556" spans="10:27" ht="15" customHeight="1" x14ac:dyDescent="0.25">
      <c r="J556" s="400" t="s">
        <v>336</v>
      </c>
      <c r="K556" s="401" t="s">
        <v>1377</v>
      </c>
      <c r="L556" s="402" t="s">
        <v>1378</v>
      </c>
      <c r="M556" s="402">
        <v>-376281.66666599998</v>
      </c>
      <c r="N556" s="402">
        <v>-346461.03999840003</v>
      </c>
      <c r="O556" s="402">
        <v>0</v>
      </c>
      <c r="P556" s="402">
        <v>0</v>
      </c>
      <c r="Q556" s="402">
        <v>0</v>
      </c>
      <c r="R556" s="402">
        <v>0</v>
      </c>
      <c r="S556" s="402">
        <v>0</v>
      </c>
      <c r="T556" s="402">
        <v>0</v>
      </c>
      <c r="U556" s="402">
        <v>0</v>
      </c>
      <c r="V556" s="402">
        <v>-75256.333333200004</v>
      </c>
      <c r="W556" s="402">
        <v>-75256.333333200004</v>
      </c>
      <c r="X556" s="402">
        <v>-75256.333333200004</v>
      </c>
      <c r="Y556" s="402">
        <v>-75256.333333200004</v>
      </c>
      <c r="Z556" s="402">
        <v>-75256.333333200004</v>
      </c>
      <c r="AA556" s="402">
        <v>-376281.66666599998</v>
      </c>
    </row>
    <row r="557" spans="10:27" ht="15" customHeight="1" x14ac:dyDescent="0.25">
      <c r="J557" s="400" t="s">
        <v>336</v>
      </c>
      <c r="K557" s="401" t="s">
        <v>1379</v>
      </c>
      <c r="L557" s="402" t="s">
        <v>1380</v>
      </c>
      <c r="M557" s="402">
        <v>-849395.34474149998</v>
      </c>
      <c r="N557" s="402">
        <v>-967385.1591399</v>
      </c>
      <c r="O557" s="402">
        <v>0</v>
      </c>
      <c r="P557" s="402">
        <v>0</v>
      </c>
      <c r="Q557" s="402">
        <v>0</v>
      </c>
      <c r="R557" s="402">
        <v>0</v>
      </c>
      <c r="S557" s="402">
        <v>0</v>
      </c>
      <c r="T557" s="402">
        <v>0</v>
      </c>
      <c r="U557" s="402">
        <v>0</v>
      </c>
      <c r="V557" s="402">
        <v>-163266.24130910001</v>
      </c>
      <c r="W557" s="402">
        <v>-168181.570703</v>
      </c>
      <c r="X557" s="402">
        <v>-174021.53279229999</v>
      </c>
      <c r="Y557" s="402">
        <v>-175968.9477281</v>
      </c>
      <c r="Z557" s="402">
        <v>-167957.05220899999</v>
      </c>
      <c r="AA557" s="402">
        <v>-849395.34474149998</v>
      </c>
    </row>
    <row r="558" spans="10:27" ht="15" customHeight="1" x14ac:dyDescent="0.25">
      <c r="J558" s="400" t="s">
        <v>336</v>
      </c>
      <c r="K558" s="401" t="s">
        <v>1381</v>
      </c>
      <c r="L558" s="402" t="s">
        <v>1382</v>
      </c>
      <c r="M558" s="402">
        <v>-405175.46882120002</v>
      </c>
      <c r="N558" s="402">
        <v>-438180.49637750001</v>
      </c>
      <c r="O558" s="402">
        <v>0</v>
      </c>
      <c r="P558" s="402">
        <v>0</v>
      </c>
      <c r="Q558" s="402">
        <v>0</v>
      </c>
      <c r="R558" s="402">
        <v>0</v>
      </c>
      <c r="S558" s="402">
        <v>0</v>
      </c>
      <c r="T558" s="402">
        <v>0</v>
      </c>
      <c r="U558" s="402">
        <v>0</v>
      </c>
      <c r="V558" s="402">
        <v>-82453.681898800001</v>
      </c>
      <c r="W558" s="402">
        <v>-80581.036586799994</v>
      </c>
      <c r="X558" s="402">
        <v>-80767.356874399993</v>
      </c>
      <c r="Y558" s="402">
        <v>-80767.356874399993</v>
      </c>
      <c r="Z558" s="402">
        <v>-80606.036586799994</v>
      </c>
      <c r="AA558" s="402">
        <v>-405175.46882120002</v>
      </c>
    </row>
    <row r="559" spans="10:27" ht="15" customHeight="1" x14ac:dyDescent="0.25">
      <c r="J559" s="400" t="s">
        <v>336</v>
      </c>
      <c r="K559" s="401" t="s">
        <v>1383</v>
      </c>
      <c r="L559" s="402" t="s">
        <v>1384</v>
      </c>
      <c r="M559" s="402">
        <v>-253418.93874330001</v>
      </c>
      <c r="N559" s="402">
        <v>-422092.10912909999</v>
      </c>
      <c r="O559" s="402">
        <v>0</v>
      </c>
      <c r="P559" s="402">
        <v>0</v>
      </c>
      <c r="Q559" s="402">
        <v>0</v>
      </c>
      <c r="R559" s="402">
        <v>0</v>
      </c>
      <c r="S559" s="402">
        <v>0</v>
      </c>
      <c r="T559" s="402">
        <v>0</v>
      </c>
      <c r="U559" s="402">
        <v>0</v>
      </c>
      <c r="V559" s="402">
        <v>-53168.4768043</v>
      </c>
      <c r="W559" s="402">
        <v>-49011.147392699997</v>
      </c>
      <c r="X559" s="402">
        <v>-51089.809846700002</v>
      </c>
      <c r="Y559" s="402">
        <v>-51114.648081500003</v>
      </c>
      <c r="Z559" s="402">
        <v>-49034.856618099999</v>
      </c>
      <c r="AA559" s="402">
        <v>-253418.93874330001</v>
      </c>
    </row>
    <row r="560" spans="10:27" ht="15" customHeight="1" x14ac:dyDescent="0.25">
      <c r="J560" s="400" t="s">
        <v>336</v>
      </c>
      <c r="K560" s="401" t="s">
        <v>1385</v>
      </c>
      <c r="L560" s="402" t="s">
        <v>1386</v>
      </c>
      <c r="M560" s="402">
        <v>-3000000</v>
      </c>
      <c r="N560" s="402">
        <v>0</v>
      </c>
      <c r="O560" s="402">
        <v>0</v>
      </c>
      <c r="P560" s="402">
        <v>0</v>
      </c>
      <c r="Q560" s="402">
        <v>0</v>
      </c>
      <c r="R560" s="402">
        <v>0</v>
      </c>
      <c r="S560" s="402">
        <v>0</v>
      </c>
      <c r="T560" s="402">
        <v>0</v>
      </c>
      <c r="U560" s="402">
        <v>0</v>
      </c>
      <c r="V560" s="402">
        <v>-600000</v>
      </c>
      <c r="W560" s="402">
        <v>-600000</v>
      </c>
      <c r="X560" s="402">
        <v>-600000</v>
      </c>
      <c r="Y560" s="402">
        <v>-600000</v>
      </c>
      <c r="Z560" s="402">
        <v>-600000</v>
      </c>
      <c r="AA560" s="402">
        <v>-3000000</v>
      </c>
    </row>
    <row r="561" spans="10:27" ht="15" customHeight="1" x14ac:dyDescent="0.25">
      <c r="J561" s="400" t="s">
        <v>336</v>
      </c>
      <c r="K561" s="401" t="s">
        <v>1387</v>
      </c>
      <c r="L561" s="402" t="s">
        <v>1388</v>
      </c>
      <c r="M561" s="402">
        <v>3053090.85</v>
      </c>
      <c r="N561" s="402">
        <v>0</v>
      </c>
      <c r="O561" s="402">
        <v>0</v>
      </c>
      <c r="P561" s="402">
        <v>0</v>
      </c>
      <c r="Q561" s="402">
        <v>0</v>
      </c>
      <c r="R561" s="402">
        <v>0</v>
      </c>
      <c r="S561" s="402">
        <v>0</v>
      </c>
      <c r="T561" s="402">
        <v>0</v>
      </c>
      <c r="U561" s="402">
        <v>0</v>
      </c>
      <c r="V561" s="402">
        <v>674018.17</v>
      </c>
      <c r="W561" s="402">
        <v>674018.17</v>
      </c>
      <c r="X561" s="402">
        <v>674018.17</v>
      </c>
      <c r="Y561" s="402">
        <v>674018.17</v>
      </c>
      <c r="Z561" s="402">
        <v>357018.17</v>
      </c>
      <c r="AA561" s="402">
        <v>3053090.85</v>
      </c>
    </row>
    <row r="562" spans="10:27" ht="15" customHeight="1" x14ac:dyDescent="0.25">
      <c r="J562" s="400" t="s">
        <v>336</v>
      </c>
      <c r="K562" s="401" t="s">
        <v>1389</v>
      </c>
      <c r="L562" s="402" t="s">
        <v>1390</v>
      </c>
      <c r="M562" s="402">
        <v>-148194.9666665</v>
      </c>
      <c r="N562" s="402">
        <v>0</v>
      </c>
      <c r="O562" s="402">
        <v>0</v>
      </c>
      <c r="P562" s="402">
        <v>0</v>
      </c>
      <c r="Q562" s="402">
        <v>0</v>
      </c>
      <c r="R562" s="402">
        <v>0</v>
      </c>
      <c r="S562" s="402">
        <v>0</v>
      </c>
      <c r="T562" s="402">
        <v>0</v>
      </c>
      <c r="U562" s="402">
        <v>0</v>
      </c>
      <c r="V562" s="402">
        <v>-29638.993333300001</v>
      </c>
      <c r="W562" s="402">
        <v>-29638.993333300001</v>
      </c>
      <c r="X562" s="402">
        <v>-29638.993333300001</v>
      </c>
      <c r="Y562" s="402">
        <v>-29638.993333300001</v>
      </c>
      <c r="Z562" s="402">
        <v>-29638.993333300001</v>
      </c>
      <c r="AA562" s="402">
        <v>-148194.9666665</v>
      </c>
    </row>
    <row r="563" spans="10:27" ht="15" customHeight="1" x14ac:dyDescent="0.25">
      <c r="J563" s="400" t="s">
        <v>336</v>
      </c>
      <c r="K563" s="401" t="s">
        <v>1391</v>
      </c>
      <c r="L563" s="402" t="s">
        <v>1392</v>
      </c>
      <c r="M563" s="402">
        <v>100000</v>
      </c>
      <c r="N563" s="402">
        <v>0</v>
      </c>
      <c r="O563" s="402">
        <v>0</v>
      </c>
      <c r="P563" s="402">
        <v>0</v>
      </c>
      <c r="Q563" s="402">
        <v>0</v>
      </c>
      <c r="R563" s="402">
        <v>0</v>
      </c>
      <c r="S563" s="402">
        <v>0</v>
      </c>
      <c r="T563" s="402">
        <v>0</v>
      </c>
      <c r="U563" s="402">
        <v>0</v>
      </c>
      <c r="V563" s="402">
        <v>20000</v>
      </c>
      <c r="W563" s="402">
        <v>20000</v>
      </c>
      <c r="X563" s="402">
        <v>20000</v>
      </c>
      <c r="Y563" s="402">
        <v>20000</v>
      </c>
      <c r="Z563" s="402">
        <v>20000</v>
      </c>
      <c r="AA563" s="402">
        <v>100000</v>
      </c>
    </row>
    <row r="564" spans="10:27" ht="15" customHeight="1" x14ac:dyDescent="0.25">
      <c r="J564" s="400" t="s">
        <v>336</v>
      </c>
      <c r="K564" s="401" t="s">
        <v>1393</v>
      </c>
      <c r="L564" s="402" t="s">
        <v>1394</v>
      </c>
      <c r="M564" s="402">
        <v>368197.54783300002</v>
      </c>
      <c r="N564" s="402">
        <v>0</v>
      </c>
      <c r="O564" s="402">
        <v>0</v>
      </c>
      <c r="P564" s="402">
        <v>0</v>
      </c>
      <c r="Q564" s="402">
        <v>0</v>
      </c>
      <c r="R564" s="402">
        <v>0</v>
      </c>
      <c r="S564" s="402">
        <v>0</v>
      </c>
      <c r="T564" s="402">
        <v>0</v>
      </c>
      <c r="U564" s="402">
        <v>0</v>
      </c>
      <c r="V564" s="402">
        <v>73639.509566599998</v>
      </c>
      <c r="W564" s="402">
        <v>73639.509566599998</v>
      </c>
      <c r="X564" s="402">
        <v>73639.509566599998</v>
      </c>
      <c r="Y564" s="402">
        <v>73639.509566599998</v>
      </c>
      <c r="Z564" s="402">
        <v>73639.509566599998</v>
      </c>
      <c r="AA564" s="402">
        <v>368197.54783300002</v>
      </c>
    </row>
    <row r="565" spans="10:27" ht="15" customHeight="1" x14ac:dyDescent="0.25">
      <c r="J565" s="400" t="s">
        <v>336</v>
      </c>
      <c r="K565" s="401" t="s">
        <v>1395</v>
      </c>
      <c r="L565" s="402" t="s">
        <v>1396</v>
      </c>
      <c r="M565" s="402">
        <v>174975</v>
      </c>
      <c r="N565" s="402">
        <v>-550000</v>
      </c>
      <c r="O565" s="402">
        <v>0</v>
      </c>
      <c r="P565" s="402">
        <v>0</v>
      </c>
      <c r="Q565" s="402">
        <v>0</v>
      </c>
      <c r="R565" s="402">
        <v>0</v>
      </c>
      <c r="S565" s="402">
        <v>0</v>
      </c>
      <c r="T565" s="402">
        <v>0</v>
      </c>
      <c r="U565" s="402">
        <v>0</v>
      </c>
      <c r="V565" s="402">
        <v>37195</v>
      </c>
      <c r="W565" s="402">
        <v>37195</v>
      </c>
      <c r="X565" s="402">
        <v>37195</v>
      </c>
      <c r="Y565" s="402">
        <v>37195</v>
      </c>
      <c r="Z565" s="402">
        <v>26195</v>
      </c>
      <c r="AA565" s="402">
        <v>174975</v>
      </c>
    </row>
    <row r="566" spans="10:27" ht="15" customHeight="1" x14ac:dyDescent="0.25">
      <c r="J566" s="400" t="s">
        <v>336</v>
      </c>
      <c r="K566" s="401" t="s">
        <v>1397</v>
      </c>
      <c r="L566" s="402" t="s">
        <v>1398</v>
      </c>
      <c r="M566" s="402">
        <v>9829912.0099999998</v>
      </c>
      <c r="N566" s="402">
        <v>23590028.716684598</v>
      </c>
      <c r="O566" s="402">
        <v>0</v>
      </c>
      <c r="P566" s="402">
        <v>0</v>
      </c>
      <c r="Q566" s="402">
        <v>0</v>
      </c>
      <c r="R566" s="402">
        <v>0</v>
      </c>
      <c r="S566" s="402">
        <v>0</v>
      </c>
      <c r="T566" s="402">
        <v>0</v>
      </c>
      <c r="U566" s="402">
        <v>0</v>
      </c>
      <c r="V566" s="402">
        <v>1958676.48</v>
      </c>
      <c r="W566" s="402">
        <v>1958676.48</v>
      </c>
      <c r="X566" s="402">
        <v>1958676.48</v>
      </c>
      <c r="Y566" s="402">
        <v>1958676.48</v>
      </c>
      <c r="Z566" s="402">
        <v>1995206.09</v>
      </c>
      <c r="AA566" s="402">
        <v>9829912.0099999998</v>
      </c>
    </row>
    <row r="567" spans="10:27" ht="15" customHeight="1" x14ac:dyDescent="0.25">
      <c r="J567" s="400" t="s">
        <v>336</v>
      </c>
      <c r="K567" s="401" t="s">
        <v>1399</v>
      </c>
      <c r="L567" s="402" t="s">
        <v>1400</v>
      </c>
      <c r="M567" s="402">
        <v>1582418.9106735</v>
      </c>
      <c r="N567" s="402">
        <v>0</v>
      </c>
      <c r="O567" s="402">
        <v>0</v>
      </c>
      <c r="P567" s="402">
        <v>0</v>
      </c>
      <c r="Q567" s="402">
        <v>0</v>
      </c>
      <c r="R567" s="402">
        <v>0</v>
      </c>
      <c r="S567" s="402">
        <v>0</v>
      </c>
      <c r="T567" s="402">
        <v>0</v>
      </c>
      <c r="U567" s="402">
        <v>0</v>
      </c>
      <c r="V567" s="402">
        <v>316483.78213469998</v>
      </c>
      <c r="W567" s="402">
        <v>316483.78213469998</v>
      </c>
      <c r="X567" s="402">
        <v>316483.78213469998</v>
      </c>
      <c r="Y567" s="402">
        <v>316483.78213469998</v>
      </c>
      <c r="Z567" s="402">
        <v>316483.78213469998</v>
      </c>
      <c r="AA567" s="402">
        <v>1582418.9106735</v>
      </c>
    </row>
    <row r="568" spans="10:27" ht="15" customHeight="1" x14ac:dyDescent="0.25">
      <c r="J568" s="400" t="s">
        <v>336</v>
      </c>
      <c r="K568" s="401" t="s">
        <v>1401</v>
      </c>
      <c r="L568" s="402" t="s">
        <v>1402</v>
      </c>
      <c r="M568" s="402">
        <v>2640696.0499999998</v>
      </c>
      <c r="N568" s="402">
        <v>0</v>
      </c>
      <c r="O568" s="402">
        <v>0</v>
      </c>
      <c r="P568" s="402">
        <v>0</v>
      </c>
      <c r="Q568" s="402">
        <v>0</v>
      </c>
      <c r="R568" s="402">
        <v>0</v>
      </c>
      <c r="S568" s="402">
        <v>0</v>
      </c>
      <c r="T568" s="402">
        <v>0</v>
      </c>
      <c r="U568" s="402">
        <v>0</v>
      </c>
      <c r="V568" s="402">
        <v>528139.21</v>
      </c>
      <c r="W568" s="402">
        <v>528139.21</v>
      </c>
      <c r="X568" s="402">
        <v>528139.21</v>
      </c>
      <c r="Y568" s="402">
        <v>528139.21</v>
      </c>
      <c r="Z568" s="402">
        <v>528139.21</v>
      </c>
      <c r="AA568" s="402">
        <v>2640696.0499999998</v>
      </c>
    </row>
    <row r="569" spans="10:27" ht="15" customHeight="1" x14ac:dyDescent="0.25">
      <c r="J569" s="400" t="s">
        <v>336</v>
      </c>
      <c r="K569" s="401" t="s">
        <v>1403</v>
      </c>
      <c r="L569" s="402" t="s">
        <v>1404</v>
      </c>
      <c r="M569" s="402">
        <v>2223812</v>
      </c>
      <c r="N569" s="402">
        <v>0</v>
      </c>
      <c r="O569" s="402">
        <v>0</v>
      </c>
      <c r="P569" s="402">
        <v>0</v>
      </c>
      <c r="Q569" s="402">
        <v>0</v>
      </c>
      <c r="R569" s="402">
        <v>0</v>
      </c>
      <c r="S569" s="402">
        <v>0</v>
      </c>
      <c r="T569" s="402">
        <v>0</v>
      </c>
      <c r="U569" s="402">
        <v>0</v>
      </c>
      <c r="V569" s="402">
        <v>444762.4</v>
      </c>
      <c r="W569" s="402">
        <v>444762.4</v>
      </c>
      <c r="X569" s="402">
        <v>444762.4</v>
      </c>
      <c r="Y569" s="402">
        <v>444762.4</v>
      </c>
      <c r="Z569" s="402">
        <v>444762.4</v>
      </c>
      <c r="AA569" s="402">
        <v>2223812</v>
      </c>
    </row>
    <row r="570" spans="10:27" ht="15" customHeight="1" x14ac:dyDescent="0.25">
      <c r="J570" s="400" t="s">
        <v>336</v>
      </c>
      <c r="K570" s="401" t="s">
        <v>1405</v>
      </c>
      <c r="L570" s="402" t="s">
        <v>1406</v>
      </c>
      <c r="M570" s="402">
        <v>2555</v>
      </c>
      <c r="N570" s="402">
        <v>19164</v>
      </c>
      <c r="O570" s="402">
        <v>0</v>
      </c>
      <c r="P570" s="402">
        <v>0</v>
      </c>
      <c r="Q570" s="402">
        <v>0</v>
      </c>
      <c r="R570" s="402">
        <v>0</v>
      </c>
      <c r="S570" s="402">
        <v>0</v>
      </c>
      <c r="T570" s="402">
        <v>0</v>
      </c>
      <c r="U570" s="402">
        <v>0</v>
      </c>
      <c r="V570" s="402">
        <v>511</v>
      </c>
      <c r="W570" s="402">
        <v>511</v>
      </c>
      <c r="X570" s="402">
        <v>511</v>
      </c>
      <c r="Y570" s="402">
        <v>511</v>
      </c>
      <c r="Z570" s="402">
        <v>511</v>
      </c>
      <c r="AA570" s="402">
        <v>2555</v>
      </c>
    </row>
    <row r="571" spans="10:27" ht="15" customHeight="1" x14ac:dyDescent="0.25">
      <c r="J571" s="400" t="s">
        <v>336</v>
      </c>
      <c r="K571" s="401" t="s">
        <v>1407</v>
      </c>
      <c r="L571" s="402" t="s">
        <v>1408</v>
      </c>
      <c r="M571" s="402">
        <v>62565.2</v>
      </c>
      <c r="N571" s="402">
        <v>0</v>
      </c>
      <c r="O571" s="402">
        <v>0</v>
      </c>
      <c r="P571" s="402">
        <v>0</v>
      </c>
      <c r="Q571" s="402">
        <v>0</v>
      </c>
      <c r="R571" s="402">
        <v>0</v>
      </c>
      <c r="S571" s="402">
        <v>0</v>
      </c>
      <c r="T571" s="402">
        <v>0</v>
      </c>
      <c r="U571" s="402">
        <v>0</v>
      </c>
      <c r="V571" s="402">
        <v>12513.04</v>
      </c>
      <c r="W571" s="402">
        <v>12513.04</v>
      </c>
      <c r="X571" s="402">
        <v>12513.04</v>
      </c>
      <c r="Y571" s="402">
        <v>12513.04</v>
      </c>
      <c r="Z571" s="402">
        <v>12513.04</v>
      </c>
      <c r="AA571" s="402">
        <v>62565.2</v>
      </c>
    </row>
    <row r="572" spans="10:27" ht="15" customHeight="1" x14ac:dyDescent="0.25">
      <c r="J572" s="400" t="s">
        <v>336</v>
      </c>
      <c r="K572" s="401" t="s">
        <v>1409</v>
      </c>
      <c r="L572" s="402" t="s">
        <v>1410</v>
      </c>
      <c r="M572" s="402">
        <v>-12332.852832500001</v>
      </c>
      <c r="N572" s="402">
        <v>0</v>
      </c>
      <c r="O572" s="402">
        <v>0</v>
      </c>
      <c r="P572" s="402">
        <v>0</v>
      </c>
      <c r="Q572" s="402">
        <v>0</v>
      </c>
      <c r="R572" s="402">
        <v>0</v>
      </c>
      <c r="S572" s="402">
        <v>0</v>
      </c>
      <c r="T572" s="402">
        <v>0</v>
      </c>
      <c r="U572" s="402">
        <v>0</v>
      </c>
      <c r="V572" s="402">
        <v>-2466.5705665</v>
      </c>
      <c r="W572" s="402">
        <v>-2466.5705665</v>
      </c>
      <c r="X572" s="402">
        <v>-2466.5705665</v>
      </c>
      <c r="Y572" s="402">
        <v>-2466.5705665</v>
      </c>
      <c r="Z572" s="402">
        <v>-2466.5705665</v>
      </c>
      <c r="AA572" s="402">
        <v>-12332.852832500001</v>
      </c>
    </row>
    <row r="573" spans="10:27" ht="15" customHeight="1" x14ac:dyDescent="0.25">
      <c r="J573" s="400" t="s">
        <v>336</v>
      </c>
      <c r="K573" s="401" t="s">
        <v>1411</v>
      </c>
      <c r="L573" s="402" t="s">
        <v>1412</v>
      </c>
      <c r="M573" s="402">
        <v>-2533.9964255</v>
      </c>
      <c r="N573" s="402">
        <v>0</v>
      </c>
      <c r="O573" s="402">
        <v>0</v>
      </c>
      <c r="P573" s="402">
        <v>0</v>
      </c>
      <c r="Q573" s="402">
        <v>0</v>
      </c>
      <c r="R573" s="402">
        <v>0</v>
      </c>
      <c r="S573" s="402">
        <v>0</v>
      </c>
      <c r="T573" s="402">
        <v>0</v>
      </c>
      <c r="U573" s="402">
        <v>0</v>
      </c>
      <c r="V573" s="402">
        <v>-506.79928510000002</v>
      </c>
      <c r="W573" s="402">
        <v>-506.79928510000002</v>
      </c>
      <c r="X573" s="402">
        <v>-506.79928510000002</v>
      </c>
      <c r="Y573" s="402">
        <v>-506.79928510000002</v>
      </c>
      <c r="Z573" s="402">
        <v>-506.79928510000002</v>
      </c>
      <c r="AA573" s="402">
        <v>-2533.9964255</v>
      </c>
    </row>
    <row r="574" spans="10:27" ht="15" customHeight="1" x14ac:dyDescent="0.25">
      <c r="J574" s="400" t="s">
        <v>336</v>
      </c>
      <c r="K574" s="401" t="s">
        <v>1413</v>
      </c>
      <c r="L574" s="402" t="s">
        <v>1414</v>
      </c>
      <c r="M574" s="402">
        <v>-27691.486217900001</v>
      </c>
      <c r="N574" s="402">
        <v>-62237.402225999998</v>
      </c>
      <c r="O574" s="402">
        <v>0</v>
      </c>
      <c r="P574" s="402">
        <v>0</v>
      </c>
      <c r="Q574" s="402">
        <v>0</v>
      </c>
      <c r="R574" s="402">
        <v>0</v>
      </c>
      <c r="S574" s="402">
        <v>0</v>
      </c>
      <c r="T574" s="402">
        <v>0</v>
      </c>
      <c r="U574" s="402">
        <v>0</v>
      </c>
      <c r="V574" s="402">
        <v>-5340.5464511</v>
      </c>
      <c r="W574" s="402">
        <v>-5422.1717091</v>
      </c>
      <c r="X574" s="402">
        <v>-5395.7322752999999</v>
      </c>
      <c r="Y574" s="402">
        <v>-5601.1227392999999</v>
      </c>
      <c r="Z574" s="402">
        <v>-5931.9130431000003</v>
      </c>
      <c r="AA574" s="402">
        <v>-27691.486217900001</v>
      </c>
    </row>
    <row r="575" spans="10:27" ht="15" customHeight="1" x14ac:dyDescent="0.25">
      <c r="J575" s="400" t="s">
        <v>336</v>
      </c>
      <c r="K575" s="401" t="s">
        <v>1415</v>
      </c>
      <c r="L575" s="402" t="s">
        <v>1416</v>
      </c>
      <c r="M575" s="402">
        <v>-324.35000000000002</v>
      </c>
      <c r="N575" s="402">
        <v>-202889.45305829999</v>
      </c>
      <c r="O575" s="402">
        <v>0</v>
      </c>
      <c r="P575" s="402">
        <v>0</v>
      </c>
      <c r="Q575" s="402">
        <v>0</v>
      </c>
      <c r="R575" s="402">
        <v>0</v>
      </c>
      <c r="S575" s="402">
        <v>0</v>
      </c>
      <c r="T575" s="402">
        <v>0</v>
      </c>
      <c r="U575" s="402">
        <v>0</v>
      </c>
      <c r="V575" s="402">
        <v>-64.87</v>
      </c>
      <c r="W575" s="402">
        <v>-64.87</v>
      </c>
      <c r="X575" s="402">
        <v>-64.87</v>
      </c>
      <c r="Y575" s="402">
        <v>-64.87</v>
      </c>
      <c r="Z575" s="402">
        <v>-64.87</v>
      </c>
      <c r="AA575" s="402">
        <v>-324.35000000000002</v>
      </c>
    </row>
    <row r="576" spans="10:27" ht="15" customHeight="1" x14ac:dyDescent="0.25">
      <c r="J576" s="400" t="s">
        <v>336</v>
      </c>
      <c r="K576" s="401" t="s">
        <v>1417</v>
      </c>
      <c r="L576" s="402" t="s">
        <v>1418</v>
      </c>
      <c r="M576" s="402">
        <v>-330195.29365760001</v>
      </c>
      <c r="N576" s="402">
        <v>-739425.73069790006</v>
      </c>
      <c r="O576" s="402">
        <v>0</v>
      </c>
      <c r="P576" s="402">
        <v>0</v>
      </c>
      <c r="Q576" s="402">
        <v>0</v>
      </c>
      <c r="R576" s="402">
        <v>0</v>
      </c>
      <c r="S576" s="402">
        <v>0</v>
      </c>
      <c r="T576" s="402">
        <v>0</v>
      </c>
      <c r="U576" s="402">
        <v>0</v>
      </c>
      <c r="V576" s="402">
        <v>-71515.778940200005</v>
      </c>
      <c r="W576" s="402">
        <v>-65298.333895999996</v>
      </c>
      <c r="X576" s="402">
        <v>-65195.103462699997</v>
      </c>
      <c r="Y576" s="402">
        <v>-64749.363462699999</v>
      </c>
      <c r="Z576" s="402">
        <v>-63436.713896000001</v>
      </c>
      <c r="AA576" s="402">
        <v>-330195.29365760001</v>
      </c>
    </row>
    <row r="577" spans="10:27" ht="15" customHeight="1" x14ac:dyDescent="0.25">
      <c r="J577" s="400" t="s">
        <v>336</v>
      </c>
      <c r="K577" s="401" t="s">
        <v>1419</v>
      </c>
      <c r="L577" s="402" t="s">
        <v>1420</v>
      </c>
      <c r="M577" s="402">
        <v>-301985.30543120002</v>
      </c>
      <c r="N577" s="402">
        <v>-676100.22023069998</v>
      </c>
      <c r="O577" s="402">
        <v>0</v>
      </c>
      <c r="P577" s="402">
        <v>0</v>
      </c>
      <c r="Q577" s="402">
        <v>0</v>
      </c>
      <c r="R577" s="402">
        <v>0</v>
      </c>
      <c r="S577" s="402">
        <v>0</v>
      </c>
      <c r="T577" s="402">
        <v>0</v>
      </c>
      <c r="U577" s="402">
        <v>0</v>
      </c>
      <c r="V577" s="402">
        <v>-55975.383321200003</v>
      </c>
      <c r="W577" s="402">
        <v>-51950.184020000001</v>
      </c>
      <c r="X577" s="402">
        <v>-53921.491535000001</v>
      </c>
      <c r="Y577" s="402">
        <v>-87673.589135000002</v>
      </c>
      <c r="Z577" s="402">
        <v>-52464.657420000003</v>
      </c>
      <c r="AA577" s="402">
        <v>-301985.30543120002</v>
      </c>
    </row>
    <row r="578" spans="10:27" ht="15" customHeight="1" x14ac:dyDescent="0.25">
      <c r="J578" s="400" t="s">
        <v>336</v>
      </c>
      <c r="K578" s="401" t="s">
        <v>1421</v>
      </c>
      <c r="L578" s="402" t="s">
        <v>1422</v>
      </c>
      <c r="M578" s="402">
        <v>121910</v>
      </c>
      <c r="N578" s="402">
        <v>0</v>
      </c>
      <c r="O578" s="402">
        <v>0</v>
      </c>
      <c r="P578" s="402">
        <v>0</v>
      </c>
      <c r="Q578" s="402">
        <v>0</v>
      </c>
      <c r="R578" s="402">
        <v>0</v>
      </c>
      <c r="S578" s="402">
        <v>0</v>
      </c>
      <c r="T578" s="402">
        <v>0</v>
      </c>
      <c r="U578" s="402">
        <v>0</v>
      </c>
      <c r="V578" s="402">
        <v>24382</v>
      </c>
      <c r="W578" s="402">
        <v>24382</v>
      </c>
      <c r="X578" s="402">
        <v>24382</v>
      </c>
      <c r="Y578" s="402">
        <v>24382</v>
      </c>
      <c r="Z578" s="402">
        <v>24382</v>
      </c>
      <c r="AA578" s="402">
        <v>121910</v>
      </c>
    </row>
    <row r="579" spans="10:27" ht="15" customHeight="1" x14ac:dyDescent="0.25">
      <c r="J579" s="400" t="s">
        <v>336</v>
      </c>
      <c r="K579" s="401" t="s">
        <v>1423</v>
      </c>
      <c r="L579" s="402" t="s">
        <v>1424</v>
      </c>
      <c r="M579" s="402">
        <v>-23801.63</v>
      </c>
      <c r="N579" s="402">
        <v>0</v>
      </c>
      <c r="O579" s="402">
        <v>-3716.45</v>
      </c>
      <c r="P579" s="402">
        <v>-3000.1</v>
      </c>
      <c r="Q579" s="402">
        <v>-2698.04</v>
      </c>
      <c r="R579" s="402">
        <v>-3289.38</v>
      </c>
      <c r="S579" s="402">
        <v>-3757.81</v>
      </c>
      <c r="T579" s="402">
        <v>-3682.56</v>
      </c>
      <c r="U579" s="402">
        <v>-3657.29</v>
      </c>
      <c r="V579" s="402">
        <v>0</v>
      </c>
      <c r="W579" s="402">
        <v>0</v>
      </c>
      <c r="X579" s="402">
        <v>0</v>
      </c>
      <c r="Y579" s="402">
        <v>0</v>
      </c>
      <c r="Z579" s="402">
        <v>0</v>
      </c>
      <c r="AA579" s="402">
        <v>-23801.63</v>
      </c>
    </row>
    <row r="580" spans="10:27" ht="15" customHeight="1" x14ac:dyDescent="0.25">
      <c r="J580" s="400" t="s">
        <v>336</v>
      </c>
      <c r="K580" s="401" t="s">
        <v>1425</v>
      </c>
      <c r="L580" s="402" t="s">
        <v>1426</v>
      </c>
      <c r="M580" s="402">
        <v>-112542.96</v>
      </c>
      <c r="N580" s="402">
        <v>0</v>
      </c>
      <c r="O580" s="402">
        <v>-22153.16</v>
      </c>
      <c r="P580" s="402">
        <v>-11509.99</v>
      </c>
      <c r="Q580" s="402">
        <v>-12011.59</v>
      </c>
      <c r="R580" s="402">
        <v>-10959.58</v>
      </c>
      <c r="S580" s="402">
        <v>-30291.759999999998</v>
      </c>
      <c r="T580" s="402">
        <v>-14288.07</v>
      </c>
      <c r="U580" s="402">
        <v>-11328.81</v>
      </c>
      <c r="V580" s="402">
        <v>0</v>
      </c>
      <c r="W580" s="402">
        <v>0</v>
      </c>
      <c r="X580" s="402">
        <v>0</v>
      </c>
      <c r="Y580" s="402">
        <v>0</v>
      </c>
      <c r="Z580" s="402">
        <v>0</v>
      </c>
      <c r="AA580" s="402">
        <v>-112542.96</v>
      </c>
    </row>
    <row r="581" spans="10:27" ht="15" customHeight="1" x14ac:dyDescent="0.25">
      <c r="J581" s="400" t="s">
        <v>336</v>
      </c>
      <c r="K581" s="401" t="s">
        <v>1427</v>
      </c>
      <c r="L581" s="402" t="s">
        <v>1428</v>
      </c>
      <c r="M581" s="402">
        <v>-477298.16</v>
      </c>
      <c r="N581" s="402">
        <v>0</v>
      </c>
      <c r="O581" s="402">
        <v>-69782.5</v>
      </c>
      <c r="P581" s="402">
        <v>-65649.240000000005</v>
      </c>
      <c r="Q581" s="402">
        <v>-75564.009999999995</v>
      </c>
      <c r="R581" s="402">
        <v>-63574.29</v>
      </c>
      <c r="S581" s="402">
        <v>-71534.399999999994</v>
      </c>
      <c r="T581" s="402">
        <v>-68468.03</v>
      </c>
      <c r="U581" s="402">
        <v>-62725.69</v>
      </c>
      <c r="V581" s="402">
        <v>0</v>
      </c>
      <c r="W581" s="402">
        <v>0</v>
      </c>
      <c r="X581" s="402">
        <v>0</v>
      </c>
      <c r="Y581" s="402">
        <v>0</v>
      </c>
      <c r="Z581" s="402">
        <v>0</v>
      </c>
      <c r="AA581" s="402">
        <v>-477298.16</v>
      </c>
    </row>
    <row r="582" spans="10:27" ht="15" customHeight="1" x14ac:dyDescent="0.25">
      <c r="J582" s="400" t="s">
        <v>336</v>
      </c>
      <c r="K582" s="401" t="s">
        <v>1429</v>
      </c>
      <c r="L582" s="402" t="s">
        <v>1430</v>
      </c>
      <c r="M582" s="402">
        <v>-403108.77</v>
      </c>
      <c r="N582" s="402">
        <v>0</v>
      </c>
      <c r="O582" s="402">
        <v>-57442.69</v>
      </c>
      <c r="P582" s="402">
        <v>-49791.17</v>
      </c>
      <c r="Q582" s="402">
        <v>-55782.27</v>
      </c>
      <c r="R582" s="402">
        <v>-49637.36</v>
      </c>
      <c r="S582" s="402">
        <v>-84391.13</v>
      </c>
      <c r="T582" s="402">
        <v>-54453.57</v>
      </c>
      <c r="U582" s="402">
        <v>-51610.58</v>
      </c>
      <c r="V582" s="402">
        <v>0</v>
      </c>
      <c r="W582" s="402">
        <v>0</v>
      </c>
      <c r="X582" s="402">
        <v>0</v>
      </c>
      <c r="Y582" s="402">
        <v>0</v>
      </c>
      <c r="Z582" s="402">
        <v>0</v>
      </c>
      <c r="AA582" s="402">
        <v>-403108.77</v>
      </c>
    </row>
    <row r="583" spans="10:27" ht="15" customHeight="1" x14ac:dyDescent="0.25">
      <c r="J583" s="400" t="s">
        <v>336</v>
      </c>
      <c r="K583" s="401" t="s">
        <v>1431</v>
      </c>
      <c r="L583" s="402" t="s">
        <v>1432</v>
      </c>
      <c r="M583" s="402">
        <v>3241303</v>
      </c>
      <c r="N583" s="402">
        <v>3500000.3574625002</v>
      </c>
      <c r="O583" s="402">
        <v>0</v>
      </c>
      <c r="P583" s="402">
        <v>0</v>
      </c>
      <c r="Q583" s="402">
        <v>0</v>
      </c>
      <c r="R583" s="402">
        <v>0</v>
      </c>
      <c r="S583" s="402">
        <v>0</v>
      </c>
      <c r="T583" s="402">
        <v>0</v>
      </c>
      <c r="U583" s="402">
        <v>0</v>
      </c>
      <c r="V583" s="402">
        <v>622364</v>
      </c>
      <c r="W583" s="402">
        <v>701783</v>
      </c>
      <c r="X583" s="402">
        <v>625600</v>
      </c>
      <c r="Y583" s="402">
        <v>590223</v>
      </c>
      <c r="Z583" s="402">
        <v>701333</v>
      </c>
      <c r="AA583" s="402">
        <v>3241303</v>
      </c>
    </row>
    <row r="584" spans="10:27" ht="15" customHeight="1" x14ac:dyDescent="0.25">
      <c r="J584" s="400" t="s">
        <v>336</v>
      </c>
      <c r="K584" s="401" t="s">
        <v>1433</v>
      </c>
      <c r="L584" s="402" t="s">
        <v>1434</v>
      </c>
      <c r="M584" s="402">
        <v>535</v>
      </c>
      <c r="N584" s="402">
        <v>0</v>
      </c>
      <c r="O584" s="402">
        <v>0</v>
      </c>
      <c r="P584" s="402">
        <v>0</v>
      </c>
      <c r="Q584" s="402">
        <v>0</v>
      </c>
      <c r="R584" s="402">
        <v>0</v>
      </c>
      <c r="S584" s="402">
        <v>0</v>
      </c>
      <c r="T584" s="402">
        <v>0</v>
      </c>
      <c r="U584" s="402">
        <v>0</v>
      </c>
      <c r="V584" s="402">
        <v>107</v>
      </c>
      <c r="W584" s="402">
        <v>107</v>
      </c>
      <c r="X584" s="402">
        <v>107</v>
      </c>
      <c r="Y584" s="402">
        <v>107</v>
      </c>
      <c r="Z584" s="402">
        <v>107</v>
      </c>
      <c r="AA584" s="402">
        <v>535</v>
      </c>
    </row>
    <row r="585" spans="10:27" ht="15" customHeight="1" x14ac:dyDescent="0.25">
      <c r="J585" s="400" t="s">
        <v>336</v>
      </c>
      <c r="K585" s="401" t="s">
        <v>1435</v>
      </c>
      <c r="L585" s="402" t="s">
        <v>1436</v>
      </c>
      <c r="M585" s="402">
        <v>385000</v>
      </c>
      <c r="N585" s="402">
        <v>770000</v>
      </c>
      <c r="O585" s="402">
        <v>0</v>
      </c>
      <c r="P585" s="402">
        <v>0</v>
      </c>
      <c r="Q585" s="402">
        <v>0</v>
      </c>
      <c r="R585" s="402">
        <v>0</v>
      </c>
      <c r="S585" s="402">
        <v>0</v>
      </c>
      <c r="T585" s="402">
        <v>0</v>
      </c>
      <c r="U585" s="402">
        <v>0</v>
      </c>
      <c r="V585" s="402">
        <v>0</v>
      </c>
      <c r="W585" s="402">
        <v>192500</v>
      </c>
      <c r="X585" s="402">
        <v>0</v>
      </c>
      <c r="Y585" s="402">
        <v>0</v>
      </c>
      <c r="Z585" s="402">
        <v>192500</v>
      </c>
      <c r="AA585" s="402">
        <v>385000</v>
      </c>
    </row>
    <row r="586" spans="10:27" ht="15" customHeight="1" x14ac:dyDescent="0.25">
      <c r="J586" s="400" t="s">
        <v>336</v>
      </c>
      <c r="K586" s="401" t="s">
        <v>1437</v>
      </c>
      <c r="L586" s="402" t="s">
        <v>1438</v>
      </c>
      <c r="M586" s="402">
        <v>250</v>
      </c>
      <c r="N586" s="402">
        <v>0</v>
      </c>
      <c r="O586" s="402">
        <v>0</v>
      </c>
      <c r="P586" s="402">
        <v>0</v>
      </c>
      <c r="Q586" s="402">
        <v>0</v>
      </c>
      <c r="R586" s="402">
        <v>0</v>
      </c>
      <c r="S586" s="402">
        <v>0</v>
      </c>
      <c r="T586" s="402">
        <v>0</v>
      </c>
      <c r="U586" s="402">
        <v>0</v>
      </c>
      <c r="V586" s="402">
        <v>50</v>
      </c>
      <c r="W586" s="402">
        <v>50</v>
      </c>
      <c r="X586" s="402">
        <v>50</v>
      </c>
      <c r="Y586" s="402">
        <v>50</v>
      </c>
      <c r="Z586" s="402">
        <v>50</v>
      </c>
      <c r="AA586" s="402">
        <v>250</v>
      </c>
    </row>
    <row r="587" spans="10:27" ht="15" customHeight="1" x14ac:dyDescent="0.25">
      <c r="J587" s="400" t="s">
        <v>336</v>
      </c>
      <c r="K587" s="401" t="s">
        <v>1439</v>
      </c>
      <c r="L587" s="402" t="s">
        <v>1440</v>
      </c>
      <c r="M587" s="402">
        <v>219626.49253739999</v>
      </c>
      <c r="N587" s="402">
        <v>284892</v>
      </c>
      <c r="O587" s="402">
        <v>0</v>
      </c>
      <c r="P587" s="402">
        <v>0</v>
      </c>
      <c r="Q587" s="402">
        <v>0</v>
      </c>
      <c r="R587" s="402">
        <v>0</v>
      </c>
      <c r="S587" s="402">
        <v>0</v>
      </c>
      <c r="T587" s="402">
        <v>0</v>
      </c>
      <c r="U587" s="402">
        <v>0</v>
      </c>
      <c r="V587" s="402">
        <v>0</v>
      </c>
      <c r="W587" s="402">
        <v>109813.24626869999</v>
      </c>
      <c r="X587" s="402">
        <v>0</v>
      </c>
      <c r="Y587" s="402">
        <v>0</v>
      </c>
      <c r="Z587" s="402">
        <v>109813.24626869999</v>
      </c>
      <c r="AA587" s="402">
        <v>219626.49253739999</v>
      </c>
    </row>
    <row r="588" spans="10:27" ht="15" customHeight="1" x14ac:dyDescent="0.25">
      <c r="J588" s="400" t="s">
        <v>336</v>
      </c>
      <c r="K588" s="401" t="s">
        <v>1441</v>
      </c>
      <c r="L588" s="402" t="s">
        <v>1442</v>
      </c>
      <c r="M588" s="402">
        <v>205500</v>
      </c>
      <c r="N588" s="402">
        <v>0</v>
      </c>
      <c r="O588" s="402">
        <v>0</v>
      </c>
      <c r="P588" s="402">
        <v>0</v>
      </c>
      <c r="Q588" s="402">
        <v>0</v>
      </c>
      <c r="R588" s="402">
        <v>0</v>
      </c>
      <c r="S588" s="402">
        <v>0</v>
      </c>
      <c r="T588" s="402">
        <v>0</v>
      </c>
      <c r="U588" s="402">
        <v>0</v>
      </c>
      <c r="V588" s="402">
        <v>26125</v>
      </c>
      <c r="W588" s="402">
        <v>28625</v>
      </c>
      <c r="X588" s="402">
        <v>26125</v>
      </c>
      <c r="Y588" s="402">
        <v>72687.5</v>
      </c>
      <c r="Z588" s="402">
        <v>51937.5</v>
      </c>
      <c r="AA588" s="402">
        <v>205500</v>
      </c>
    </row>
    <row r="589" spans="10:27" ht="15" customHeight="1" x14ac:dyDescent="0.25">
      <c r="J589" s="400" t="s">
        <v>336</v>
      </c>
      <c r="K589" s="401" t="s">
        <v>1443</v>
      </c>
      <c r="L589" s="402" t="s">
        <v>1444</v>
      </c>
      <c r="M589" s="402">
        <v>976886.48</v>
      </c>
      <c r="N589" s="402">
        <v>2892337.6</v>
      </c>
      <c r="O589" s="402">
        <v>0</v>
      </c>
      <c r="P589" s="402">
        <v>0</v>
      </c>
      <c r="Q589" s="402">
        <v>0</v>
      </c>
      <c r="R589" s="402">
        <v>0</v>
      </c>
      <c r="S589" s="402">
        <v>0</v>
      </c>
      <c r="T589" s="402">
        <v>0</v>
      </c>
      <c r="U589" s="402">
        <v>0</v>
      </c>
      <c r="V589" s="402">
        <v>24400</v>
      </c>
      <c r="W589" s="402">
        <v>719869.73</v>
      </c>
      <c r="X589" s="402">
        <v>15000</v>
      </c>
      <c r="Y589" s="402">
        <v>10000</v>
      </c>
      <c r="Z589" s="402">
        <v>207616.75</v>
      </c>
      <c r="AA589" s="402">
        <v>976886.48</v>
      </c>
    </row>
    <row r="590" spans="10:27" ht="15" customHeight="1" x14ac:dyDescent="0.25">
      <c r="J590" s="400" t="s">
        <v>336</v>
      </c>
      <c r="K590" s="401" t="s">
        <v>1445</v>
      </c>
      <c r="L590" s="402" t="s">
        <v>1446</v>
      </c>
      <c r="M590" s="402">
        <v>950000</v>
      </c>
      <c r="N590" s="402">
        <v>1976500</v>
      </c>
      <c r="O590" s="402">
        <v>0</v>
      </c>
      <c r="P590" s="402">
        <v>0</v>
      </c>
      <c r="Q590" s="402">
        <v>0</v>
      </c>
      <c r="R590" s="402">
        <v>0</v>
      </c>
      <c r="S590" s="402">
        <v>0</v>
      </c>
      <c r="T590" s="402">
        <v>0</v>
      </c>
      <c r="U590" s="402">
        <v>0</v>
      </c>
      <c r="V590" s="402">
        <v>170000</v>
      </c>
      <c r="W590" s="402">
        <v>170000</v>
      </c>
      <c r="X590" s="402">
        <v>170000</v>
      </c>
      <c r="Y590" s="402">
        <v>170000</v>
      </c>
      <c r="Z590" s="402">
        <v>270000</v>
      </c>
      <c r="AA590" s="402">
        <v>950000</v>
      </c>
    </row>
    <row r="591" spans="10:27" ht="15" customHeight="1" x14ac:dyDescent="0.25">
      <c r="J591" s="400" t="s">
        <v>336</v>
      </c>
      <c r="K591" s="401" t="s">
        <v>1447</v>
      </c>
      <c r="L591" s="402" t="s">
        <v>1448</v>
      </c>
      <c r="M591" s="402">
        <v>152500</v>
      </c>
      <c r="N591" s="402">
        <v>500</v>
      </c>
      <c r="O591" s="402">
        <v>0</v>
      </c>
      <c r="P591" s="402">
        <v>0</v>
      </c>
      <c r="Q591" s="402">
        <v>0</v>
      </c>
      <c r="R591" s="402">
        <v>0</v>
      </c>
      <c r="S591" s="402">
        <v>0</v>
      </c>
      <c r="T591" s="402">
        <v>0</v>
      </c>
      <c r="U591" s="402">
        <v>0</v>
      </c>
      <c r="V591" s="402">
        <v>30500</v>
      </c>
      <c r="W591" s="402">
        <v>30500</v>
      </c>
      <c r="X591" s="402">
        <v>30500</v>
      </c>
      <c r="Y591" s="402">
        <v>30500</v>
      </c>
      <c r="Z591" s="402">
        <v>30500</v>
      </c>
      <c r="AA591" s="402">
        <v>152500</v>
      </c>
    </row>
    <row r="592" spans="10:27" ht="15" customHeight="1" x14ac:dyDescent="0.25">
      <c r="J592" s="400" t="s">
        <v>336</v>
      </c>
      <c r="K592" s="401" t="s">
        <v>1449</v>
      </c>
      <c r="L592" s="402" t="s">
        <v>1450</v>
      </c>
      <c r="M592" s="402">
        <v>1384165.03</v>
      </c>
      <c r="N592" s="402">
        <v>0</v>
      </c>
      <c r="O592" s="402">
        <v>0</v>
      </c>
      <c r="P592" s="402">
        <v>0</v>
      </c>
      <c r="Q592" s="402">
        <v>0</v>
      </c>
      <c r="R592" s="402">
        <v>0</v>
      </c>
      <c r="S592" s="402">
        <v>0</v>
      </c>
      <c r="T592" s="402">
        <v>0</v>
      </c>
      <c r="U592" s="402">
        <v>0</v>
      </c>
      <c r="V592" s="402">
        <v>1092833</v>
      </c>
      <c r="W592" s="402">
        <v>72833</v>
      </c>
      <c r="X592" s="402">
        <v>72833.009999999995</v>
      </c>
      <c r="Y592" s="402">
        <v>72833.009999999995</v>
      </c>
      <c r="Z592" s="402">
        <v>72833.009999999995</v>
      </c>
      <c r="AA592" s="402">
        <v>1384165.03</v>
      </c>
    </row>
    <row r="593" spans="10:27" ht="15" customHeight="1" x14ac:dyDescent="0.25">
      <c r="J593" s="400" t="s">
        <v>336</v>
      </c>
      <c r="K593" s="401" t="s">
        <v>1451</v>
      </c>
      <c r="L593" s="402" t="s">
        <v>1452</v>
      </c>
      <c r="M593" s="402">
        <v>409626.96</v>
      </c>
      <c r="N593" s="402">
        <v>1273011.8400000001</v>
      </c>
      <c r="O593" s="402">
        <v>0</v>
      </c>
      <c r="P593" s="402">
        <v>0</v>
      </c>
      <c r="Q593" s="402">
        <v>0</v>
      </c>
      <c r="R593" s="402">
        <v>0</v>
      </c>
      <c r="S593" s="402">
        <v>0</v>
      </c>
      <c r="T593" s="402">
        <v>0</v>
      </c>
      <c r="U593" s="402">
        <v>0</v>
      </c>
      <c r="V593" s="402">
        <v>43287</v>
      </c>
      <c r="W593" s="402">
        <v>43287</v>
      </c>
      <c r="X593" s="402">
        <v>236478.96</v>
      </c>
      <c r="Y593" s="402">
        <v>43287</v>
      </c>
      <c r="Z593" s="402">
        <v>43287</v>
      </c>
      <c r="AA593" s="402">
        <v>409626.96</v>
      </c>
    </row>
    <row r="594" spans="10:27" ht="15" customHeight="1" x14ac:dyDescent="0.25">
      <c r="J594" s="400" t="s">
        <v>336</v>
      </c>
      <c r="K594" s="401" t="s">
        <v>1453</v>
      </c>
      <c r="L594" s="402" t="s">
        <v>1454</v>
      </c>
      <c r="M594" s="402">
        <v>1000</v>
      </c>
      <c r="N594" s="402">
        <v>99000</v>
      </c>
      <c r="O594" s="402">
        <v>0</v>
      </c>
      <c r="P594" s="402">
        <v>0</v>
      </c>
      <c r="Q594" s="402">
        <v>0</v>
      </c>
      <c r="R594" s="402">
        <v>0</v>
      </c>
      <c r="S594" s="402">
        <v>0</v>
      </c>
      <c r="T594" s="402">
        <v>0</v>
      </c>
      <c r="U594" s="402">
        <v>0</v>
      </c>
      <c r="V594" s="402">
        <v>0</v>
      </c>
      <c r="W594" s="402">
        <v>0</v>
      </c>
      <c r="X594" s="402">
        <v>1000</v>
      </c>
      <c r="Y594" s="402">
        <v>0</v>
      </c>
      <c r="Z594" s="402">
        <v>0</v>
      </c>
      <c r="AA594" s="402">
        <v>1000</v>
      </c>
    </row>
    <row r="595" spans="10:27" ht="15" customHeight="1" x14ac:dyDescent="0.25">
      <c r="J595" s="400" t="s">
        <v>336</v>
      </c>
      <c r="K595" s="401" t="s">
        <v>1455</v>
      </c>
      <c r="L595" s="402" t="s">
        <v>1456</v>
      </c>
      <c r="M595" s="402">
        <v>25375.778746100001</v>
      </c>
      <c r="N595" s="402">
        <v>6450</v>
      </c>
      <c r="O595" s="402">
        <v>0</v>
      </c>
      <c r="P595" s="402">
        <v>0</v>
      </c>
      <c r="Q595" s="402">
        <v>0</v>
      </c>
      <c r="R595" s="402">
        <v>0</v>
      </c>
      <c r="S595" s="402">
        <v>0</v>
      </c>
      <c r="T595" s="402">
        <v>0</v>
      </c>
      <c r="U595" s="402">
        <v>0</v>
      </c>
      <c r="V595" s="402">
        <v>4940.3327472000001</v>
      </c>
      <c r="W595" s="402">
        <v>5673.5305341000003</v>
      </c>
      <c r="X595" s="402">
        <v>4662.7190786000001</v>
      </c>
      <c r="Y595" s="402">
        <v>4699.2158809000002</v>
      </c>
      <c r="Z595" s="402">
        <v>5399.9805053</v>
      </c>
      <c r="AA595" s="402">
        <v>25375.778746100001</v>
      </c>
    </row>
    <row r="596" spans="10:27" ht="15" customHeight="1" x14ac:dyDescent="0.25">
      <c r="J596" s="400" t="s">
        <v>336</v>
      </c>
      <c r="K596" s="401" t="s">
        <v>1457</v>
      </c>
      <c r="L596" s="402" t="s">
        <v>1458</v>
      </c>
      <c r="M596" s="402">
        <v>201586.98378050001</v>
      </c>
      <c r="N596" s="402">
        <v>22294</v>
      </c>
      <c r="O596" s="402">
        <v>0</v>
      </c>
      <c r="P596" s="402">
        <v>0</v>
      </c>
      <c r="Q596" s="402">
        <v>0</v>
      </c>
      <c r="R596" s="402">
        <v>0</v>
      </c>
      <c r="S596" s="402">
        <v>0</v>
      </c>
      <c r="T596" s="402">
        <v>0</v>
      </c>
      <c r="U596" s="402">
        <v>0</v>
      </c>
      <c r="V596" s="402">
        <v>28236.7967561</v>
      </c>
      <c r="W596" s="402">
        <v>46366.796756099997</v>
      </c>
      <c r="X596" s="402">
        <v>42001.796756099997</v>
      </c>
      <c r="Y596" s="402">
        <v>41908.796756099997</v>
      </c>
      <c r="Z596" s="402">
        <v>43072.796756099997</v>
      </c>
      <c r="AA596" s="402">
        <v>201586.98378050001</v>
      </c>
    </row>
    <row r="597" spans="10:27" ht="15" customHeight="1" x14ac:dyDescent="0.25">
      <c r="J597" s="400" t="s">
        <v>336</v>
      </c>
      <c r="K597" s="401" t="s">
        <v>1459</v>
      </c>
      <c r="L597" s="402" t="s">
        <v>1460</v>
      </c>
      <c r="M597" s="402">
        <v>75000</v>
      </c>
      <c r="N597" s="402">
        <v>75000</v>
      </c>
      <c r="O597" s="402">
        <v>0</v>
      </c>
      <c r="P597" s="402">
        <v>0</v>
      </c>
      <c r="Q597" s="402">
        <v>0</v>
      </c>
      <c r="R597" s="402">
        <v>0</v>
      </c>
      <c r="S597" s="402">
        <v>0</v>
      </c>
      <c r="T597" s="402">
        <v>0</v>
      </c>
      <c r="U597" s="402">
        <v>0</v>
      </c>
      <c r="V597" s="402">
        <v>0</v>
      </c>
      <c r="W597" s="402">
        <v>0</v>
      </c>
      <c r="X597" s="402">
        <v>75000</v>
      </c>
      <c r="Y597" s="402">
        <v>0</v>
      </c>
      <c r="Z597" s="402">
        <v>0</v>
      </c>
      <c r="AA597" s="402">
        <v>75000</v>
      </c>
    </row>
    <row r="598" spans="10:27" ht="15" customHeight="1" x14ac:dyDescent="0.25">
      <c r="J598" s="400" t="s">
        <v>336</v>
      </c>
      <c r="K598" s="401" t="s">
        <v>1461</v>
      </c>
      <c r="L598" s="402" t="s">
        <v>1462</v>
      </c>
      <c r="M598" s="402">
        <v>39938.199999999997</v>
      </c>
      <c r="N598" s="402">
        <v>26652</v>
      </c>
      <c r="O598" s="402">
        <v>0</v>
      </c>
      <c r="P598" s="402">
        <v>0</v>
      </c>
      <c r="Q598" s="402">
        <v>0</v>
      </c>
      <c r="R598" s="402">
        <v>0</v>
      </c>
      <c r="S598" s="402">
        <v>0</v>
      </c>
      <c r="T598" s="402">
        <v>0</v>
      </c>
      <c r="U598" s="402">
        <v>0</v>
      </c>
      <c r="V598" s="402">
        <v>7987.64</v>
      </c>
      <c r="W598" s="402">
        <v>7987.64</v>
      </c>
      <c r="X598" s="402">
        <v>7987.64</v>
      </c>
      <c r="Y598" s="402">
        <v>7987.64</v>
      </c>
      <c r="Z598" s="402">
        <v>7987.64</v>
      </c>
      <c r="AA598" s="402">
        <v>39938.199999999997</v>
      </c>
    </row>
    <row r="599" spans="10:27" ht="15" customHeight="1" x14ac:dyDescent="0.25">
      <c r="J599" s="400" t="s">
        <v>336</v>
      </c>
      <c r="K599" s="401" t="s">
        <v>1463</v>
      </c>
      <c r="L599" s="402" t="s">
        <v>1464</v>
      </c>
      <c r="M599" s="402">
        <v>0</v>
      </c>
      <c r="N599" s="402">
        <v>110000</v>
      </c>
      <c r="O599" s="402">
        <v>0</v>
      </c>
      <c r="P599" s="402">
        <v>0</v>
      </c>
      <c r="Q599" s="402">
        <v>0</v>
      </c>
      <c r="R599" s="402">
        <v>0</v>
      </c>
      <c r="S599" s="402">
        <v>0</v>
      </c>
      <c r="T599" s="402">
        <v>0</v>
      </c>
      <c r="U599" s="402">
        <v>0</v>
      </c>
      <c r="V599" s="402">
        <v>0</v>
      </c>
      <c r="W599" s="402">
        <v>0</v>
      </c>
      <c r="X599" s="402">
        <v>0</v>
      </c>
      <c r="Y599" s="402">
        <v>0</v>
      </c>
      <c r="Z599" s="402">
        <v>0</v>
      </c>
      <c r="AA599" s="402">
        <v>0</v>
      </c>
    </row>
    <row r="600" spans="10:27" ht="15" customHeight="1" x14ac:dyDescent="0.25">
      <c r="J600" s="400" t="s">
        <v>336</v>
      </c>
      <c r="K600" s="401" t="s">
        <v>1465</v>
      </c>
      <c r="L600" s="402" t="s">
        <v>1466</v>
      </c>
      <c r="M600" s="402">
        <v>928363.02961650002</v>
      </c>
      <c r="N600" s="402">
        <v>2356560.0099991998</v>
      </c>
      <c r="O600" s="402">
        <v>0</v>
      </c>
      <c r="P600" s="402">
        <v>0</v>
      </c>
      <c r="Q600" s="402">
        <v>0</v>
      </c>
      <c r="R600" s="402">
        <v>0</v>
      </c>
      <c r="S600" s="402">
        <v>0</v>
      </c>
      <c r="T600" s="402">
        <v>0</v>
      </c>
      <c r="U600" s="402">
        <v>0</v>
      </c>
      <c r="V600" s="402">
        <v>185565.15392330001</v>
      </c>
      <c r="W600" s="402">
        <v>185766.78392330001</v>
      </c>
      <c r="X600" s="402">
        <v>185189.15392330001</v>
      </c>
      <c r="Y600" s="402">
        <v>185214.15392330001</v>
      </c>
      <c r="Z600" s="402">
        <v>186627.78392330001</v>
      </c>
      <c r="AA600" s="402">
        <v>928363.02961650002</v>
      </c>
    </row>
    <row r="601" spans="10:27" ht="15" customHeight="1" x14ac:dyDescent="0.25">
      <c r="J601" s="400" t="s">
        <v>336</v>
      </c>
      <c r="K601" s="401" t="s">
        <v>1467</v>
      </c>
      <c r="L601" s="402" t="s">
        <v>1468</v>
      </c>
      <c r="M601" s="402">
        <v>14797414.6665</v>
      </c>
      <c r="N601" s="402">
        <v>0</v>
      </c>
      <c r="O601" s="402">
        <v>0</v>
      </c>
      <c r="P601" s="402">
        <v>0</v>
      </c>
      <c r="Q601" s="402">
        <v>0</v>
      </c>
      <c r="R601" s="402">
        <v>0</v>
      </c>
      <c r="S601" s="402">
        <v>0</v>
      </c>
      <c r="T601" s="402">
        <v>0</v>
      </c>
      <c r="U601" s="402">
        <v>0</v>
      </c>
      <c r="V601" s="402">
        <v>3094605.3333000001</v>
      </c>
      <c r="W601" s="402">
        <v>3091930.3333000001</v>
      </c>
      <c r="X601" s="402">
        <v>2940435.3333000001</v>
      </c>
      <c r="Y601" s="402">
        <v>2827794.3333000001</v>
      </c>
      <c r="Z601" s="402">
        <v>2842649.3333000001</v>
      </c>
      <c r="AA601" s="402">
        <v>14797414.6665</v>
      </c>
    </row>
    <row r="602" spans="10:27" ht="15" customHeight="1" x14ac:dyDescent="0.25">
      <c r="J602" s="400" t="s">
        <v>336</v>
      </c>
      <c r="K602" s="401" t="s">
        <v>1469</v>
      </c>
      <c r="L602" s="402" t="s">
        <v>1470</v>
      </c>
      <c r="M602" s="402">
        <v>75828.888409599997</v>
      </c>
      <c r="N602" s="402">
        <v>0</v>
      </c>
      <c r="O602" s="402">
        <v>0</v>
      </c>
      <c r="P602" s="402">
        <v>0</v>
      </c>
      <c r="Q602" s="402">
        <v>0</v>
      </c>
      <c r="R602" s="402">
        <v>0</v>
      </c>
      <c r="S602" s="402">
        <v>0</v>
      </c>
      <c r="T602" s="402">
        <v>0</v>
      </c>
      <c r="U602" s="402">
        <v>0</v>
      </c>
      <c r="V602" s="402">
        <v>16362.1569906</v>
      </c>
      <c r="W602" s="402">
        <v>13345.2924293</v>
      </c>
      <c r="X602" s="402">
        <v>18357.339865499998</v>
      </c>
      <c r="Y602" s="402">
        <v>14350.409270599999</v>
      </c>
      <c r="Z602" s="402">
        <v>13413.689853600001</v>
      </c>
      <c r="AA602" s="402">
        <v>75828.888409599997</v>
      </c>
    </row>
    <row r="603" spans="10:27" ht="15" customHeight="1" x14ac:dyDescent="0.25">
      <c r="J603" s="400" t="s">
        <v>336</v>
      </c>
      <c r="K603" s="401" t="s">
        <v>1471</v>
      </c>
      <c r="L603" s="402" t="s">
        <v>1472</v>
      </c>
      <c r="M603" s="402">
        <v>39113.4</v>
      </c>
      <c r="N603" s="402">
        <v>0</v>
      </c>
      <c r="O603" s="402">
        <v>0</v>
      </c>
      <c r="P603" s="402">
        <v>0</v>
      </c>
      <c r="Q603" s="402">
        <v>0</v>
      </c>
      <c r="R603" s="402">
        <v>0</v>
      </c>
      <c r="S603" s="402">
        <v>0</v>
      </c>
      <c r="T603" s="402">
        <v>0</v>
      </c>
      <c r="U603" s="402">
        <v>0</v>
      </c>
      <c r="V603" s="402">
        <v>7822.68</v>
      </c>
      <c r="W603" s="402">
        <v>7822.68</v>
      </c>
      <c r="X603" s="402">
        <v>7822.68</v>
      </c>
      <c r="Y603" s="402">
        <v>7822.68</v>
      </c>
      <c r="Z603" s="402">
        <v>7822.68</v>
      </c>
      <c r="AA603" s="402">
        <v>39113.4</v>
      </c>
    </row>
    <row r="604" spans="10:27" ht="15" customHeight="1" x14ac:dyDescent="0.25">
      <c r="J604" s="400" t="s">
        <v>336</v>
      </c>
      <c r="K604" s="401" t="s">
        <v>1473</v>
      </c>
      <c r="L604" s="402" t="s">
        <v>1474</v>
      </c>
      <c r="M604" s="402">
        <v>-14583333.3333335</v>
      </c>
      <c r="N604" s="402">
        <v>-35000000.000000402</v>
      </c>
      <c r="O604" s="402">
        <v>0</v>
      </c>
      <c r="P604" s="402">
        <v>0</v>
      </c>
      <c r="Q604" s="402">
        <v>0</v>
      </c>
      <c r="R604" s="402">
        <v>0</v>
      </c>
      <c r="S604" s="402">
        <v>0</v>
      </c>
      <c r="T604" s="402">
        <v>0</v>
      </c>
      <c r="U604" s="402">
        <v>0</v>
      </c>
      <c r="V604" s="402">
        <v>-2916666.6666667</v>
      </c>
      <c r="W604" s="402">
        <v>-2916666.6666667</v>
      </c>
      <c r="X604" s="402">
        <v>-2916666.6666667</v>
      </c>
      <c r="Y604" s="402">
        <v>-2916666.6666667</v>
      </c>
      <c r="Z604" s="402">
        <v>-2916666.6666667</v>
      </c>
      <c r="AA604" s="402">
        <v>-14583333.3333335</v>
      </c>
    </row>
    <row r="605" spans="10:27" ht="15" customHeight="1" x14ac:dyDescent="0.25">
      <c r="J605" s="400" t="s">
        <v>336</v>
      </c>
      <c r="K605" s="401" t="s">
        <v>1475</v>
      </c>
      <c r="L605" s="402" t="s">
        <v>1476</v>
      </c>
      <c r="M605" s="402">
        <v>321460.5</v>
      </c>
      <c r="N605" s="402">
        <v>21000</v>
      </c>
      <c r="O605" s="402">
        <v>0</v>
      </c>
      <c r="P605" s="402">
        <v>0</v>
      </c>
      <c r="Q605" s="402">
        <v>0</v>
      </c>
      <c r="R605" s="402">
        <v>0</v>
      </c>
      <c r="S605" s="402">
        <v>0</v>
      </c>
      <c r="T605" s="402">
        <v>0</v>
      </c>
      <c r="U605" s="402">
        <v>0</v>
      </c>
      <c r="V605" s="402">
        <v>64292.1</v>
      </c>
      <c r="W605" s="402">
        <v>64292.1</v>
      </c>
      <c r="X605" s="402">
        <v>64292.1</v>
      </c>
      <c r="Y605" s="402">
        <v>64292.1</v>
      </c>
      <c r="Z605" s="402">
        <v>64292.1</v>
      </c>
      <c r="AA605" s="402">
        <v>321460.5</v>
      </c>
    </row>
    <row r="606" spans="10:27" ht="15" customHeight="1" x14ac:dyDescent="0.25">
      <c r="J606" s="400" t="s">
        <v>336</v>
      </c>
      <c r="K606" s="401" t="s">
        <v>1477</v>
      </c>
      <c r="L606" s="402" t="s">
        <v>1478</v>
      </c>
      <c r="M606" s="402">
        <v>1171770.3999999999</v>
      </c>
      <c r="N606" s="402">
        <v>1230101.6235</v>
      </c>
      <c r="O606" s="402">
        <v>0</v>
      </c>
      <c r="P606" s="402">
        <v>0</v>
      </c>
      <c r="Q606" s="402">
        <v>0</v>
      </c>
      <c r="R606" s="402">
        <v>0</v>
      </c>
      <c r="S606" s="402">
        <v>0</v>
      </c>
      <c r="T606" s="402">
        <v>0</v>
      </c>
      <c r="U606" s="402">
        <v>0</v>
      </c>
      <c r="V606" s="402">
        <v>181554.08</v>
      </c>
      <c r="W606" s="402">
        <v>289554.08</v>
      </c>
      <c r="X606" s="402">
        <v>289554.08</v>
      </c>
      <c r="Y606" s="402">
        <v>205554.08</v>
      </c>
      <c r="Z606" s="402">
        <v>205554.08</v>
      </c>
      <c r="AA606" s="402">
        <v>1171770.3999999999</v>
      </c>
    </row>
    <row r="607" spans="10:27" ht="15" customHeight="1" x14ac:dyDescent="0.25">
      <c r="J607" s="400" t="s">
        <v>336</v>
      </c>
      <c r="K607" s="401" t="s">
        <v>1479</v>
      </c>
      <c r="L607" s="402" t="s">
        <v>1480</v>
      </c>
      <c r="M607" s="402">
        <v>67042.7</v>
      </c>
      <c r="N607" s="402">
        <v>42000</v>
      </c>
      <c r="O607" s="402">
        <v>0</v>
      </c>
      <c r="P607" s="402">
        <v>0</v>
      </c>
      <c r="Q607" s="402">
        <v>0</v>
      </c>
      <c r="R607" s="402">
        <v>0</v>
      </c>
      <c r="S607" s="402">
        <v>0</v>
      </c>
      <c r="T607" s="402">
        <v>0</v>
      </c>
      <c r="U607" s="402">
        <v>0</v>
      </c>
      <c r="V607" s="402">
        <v>13408.54</v>
      </c>
      <c r="W607" s="402">
        <v>13408.54</v>
      </c>
      <c r="X607" s="402">
        <v>13408.54</v>
      </c>
      <c r="Y607" s="402">
        <v>13408.54</v>
      </c>
      <c r="Z607" s="402">
        <v>13408.54</v>
      </c>
      <c r="AA607" s="402">
        <v>67042.7</v>
      </c>
    </row>
    <row r="608" spans="10:27" ht="15" customHeight="1" x14ac:dyDescent="0.25">
      <c r="J608" s="400" t="s">
        <v>336</v>
      </c>
      <c r="K608" s="401" t="s">
        <v>1481</v>
      </c>
      <c r="L608" s="402" t="s">
        <v>1482</v>
      </c>
      <c r="M608" s="402">
        <v>125277.0043727</v>
      </c>
      <c r="N608" s="402">
        <v>140000</v>
      </c>
      <c r="O608" s="402">
        <v>0</v>
      </c>
      <c r="P608" s="402">
        <v>0</v>
      </c>
      <c r="Q608" s="402">
        <v>0</v>
      </c>
      <c r="R608" s="402">
        <v>0</v>
      </c>
      <c r="S608" s="402">
        <v>0</v>
      </c>
      <c r="T608" s="402">
        <v>0</v>
      </c>
      <c r="U608" s="402">
        <v>0</v>
      </c>
      <c r="V608" s="402">
        <v>260.54520000000002</v>
      </c>
      <c r="W608" s="402">
        <v>36254.104738299997</v>
      </c>
      <c r="X608" s="402">
        <v>36254.104738299997</v>
      </c>
      <c r="Y608" s="402">
        <v>44252.194957799999</v>
      </c>
      <c r="Z608" s="402">
        <v>8256.0547382999994</v>
      </c>
      <c r="AA608" s="402">
        <v>125277.0043727</v>
      </c>
    </row>
    <row r="609" spans="10:27" ht="15" customHeight="1" x14ac:dyDescent="0.25">
      <c r="J609" s="400" t="s">
        <v>336</v>
      </c>
      <c r="K609" s="401" t="s">
        <v>1483</v>
      </c>
      <c r="L609" s="402" t="s">
        <v>1484</v>
      </c>
      <c r="M609" s="402">
        <v>6511648.8989541996</v>
      </c>
      <c r="N609" s="402">
        <v>2057542.2285420001</v>
      </c>
      <c r="O609" s="402">
        <v>0</v>
      </c>
      <c r="P609" s="402">
        <v>0</v>
      </c>
      <c r="Q609" s="402">
        <v>0</v>
      </c>
      <c r="R609" s="402">
        <v>0</v>
      </c>
      <c r="S609" s="402">
        <v>0</v>
      </c>
      <c r="T609" s="402">
        <v>0</v>
      </c>
      <c r="U609" s="402">
        <v>0</v>
      </c>
      <c r="V609" s="402">
        <v>1126233.0651902</v>
      </c>
      <c r="W609" s="402">
        <v>1540918.1374061001</v>
      </c>
      <c r="X609" s="402">
        <v>1133733.0651902</v>
      </c>
      <c r="Y609" s="402">
        <v>1147132.7794759001</v>
      </c>
      <c r="Z609" s="402">
        <v>1563631.8516917999</v>
      </c>
      <c r="AA609" s="402">
        <v>6511648.8989541996</v>
      </c>
    </row>
    <row r="610" spans="10:27" ht="15" customHeight="1" x14ac:dyDescent="0.25">
      <c r="J610" s="400" t="s">
        <v>336</v>
      </c>
      <c r="K610" s="401" t="s">
        <v>1485</v>
      </c>
      <c r="L610" s="402" t="s">
        <v>1486</v>
      </c>
      <c r="M610" s="402">
        <v>-1504700.6427664</v>
      </c>
      <c r="N610" s="402">
        <v>1973084.0769227999</v>
      </c>
      <c r="O610" s="402">
        <v>0</v>
      </c>
      <c r="P610" s="402">
        <v>0</v>
      </c>
      <c r="Q610" s="402">
        <v>0</v>
      </c>
      <c r="R610" s="402">
        <v>0</v>
      </c>
      <c r="S610" s="402">
        <v>0</v>
      </c>
      <c r="T610" s="402">
        <v>0</v>
      </c>
      <c r="U610" s="402">
        <v>0</v>
      </c>
      <c r="V610" s="402">
        <v>-338049.59858799999</v>
      </c>
      <c r="W610" s="402">
        <v>-291692.6139233</v>
      </c>
      <c r="X610" s="402">
        <v>-319065.18179900001</v>
      </c>
      <c r="Y610" s="402">
        <v>-306508.18179900001</v>
      </c>
      <c r="Z610" s="402">
        <v>-249385.06665709999</v>
      </c>
      <c r="AA610" s="402">
        <v>-1504700.6427664</v>
      </c>
    </row>
    <row r="611" spans="10:27" ht="15" customHeight="1" x14ac:dyDescent="0.25">
      <c r="J611" s="400" t="s">
        <v>336</v>
      </c>
      <c r="K611" s="401" t="s">
        <v>1487</v>
      </c>
      <c r="L611" s="402" t="s">
        <v>1488</v>
      </c>
      <c r="M611" s="402">
        <v>191715</v>
      </c>
      <c r="N611" s="402">
        <v>0</v>
      </c>
      <c r="O611" s="402">
        <v>0</v>
      </c>
      <c r="P611" s="402">
        <v>0</v>
      </c>
      <c r="Q611" s="402">
        <v>0</v>
      </c>
      <c r="R611" s="402">
        <v>0</v>
      </c>
      <c r="S611" s="402">
        <v>0</v>
      </c>
      <c r="T611" s="402">
        <v>0</v>
      </c>
      <c r="U611" s="402">
        <v>0</v>
      </c>
      <c r="V611" s="402">
        <v>38343</v>
      </c>
      <c r="W611" s="402">
        <v>38343</v>
      </c>
      <c r="X611" s="402">
        <v>38343</v>
      </c>
      <c r="Y611" s="402">
        <v>38343</v>
      </c>
      <c r="Z611" s="402">
        <v>38343</v>
      </c>
      <c r="AA611" s="402">
        <v>191715</v>
      </c>
    </row>
    <row r="612" spans="10:27" ht="15" customHeight="1" x14ac:dyDescent="0.25">
      <c r="J612" s="400" t="s">
        <v>336</v>
      </c>
      <c r="K612" s="401" t="s">
        <v>1489</v>
      </c>
      <c r="L612" s="402" t="s">
        <v>1490</v>
      </c>
      <c r="M612" s="402">
        <v>100368.6569596</v>
      </c>
      <c r="N612" s="402">
        <v>360180</v>
      </c>
      <c r="O612" s="402">
        <v>0</v>
      </c>
      <c r="P612" s="402">
        <v>0</v>
      </c>
      <c r="Q612" s="402">
        <v>0</v>
      </c>
      <c r="R612" s="402">
        <v>0</v>
      </c>
      <c r="S612" s="402">
        <v>0</v>
      </c>
      <c r="T612" s="402">
        <v>0</v>
      </c>
      <c r="U612" s="402">
        <v>0</v>
      </c>
      <c r="V612" s="402">
        <v>21739.7086437</v>
      </c>
      <c r="W612" s="402">
        <v>18952.2272376</v>
      </c>
      <c r="X612" s="402">
        <v>20345.966430799999</v>
      </c>
      <c r="Y612" s="402">
        <v>20362.620419700001</v>
      </c>
      <c r="Z612" s="402">
        <v>18968.134227800001</v>
      </c>
      <c r="AA612" s="402">
        <v>100368.6569596</v>
      </c>
    </row>
    <row r="613" spans="10:27" ht="15" customHeight="1" x14ac:dyDescent="0.2">
      <c r="J613" s="392" t="s">
        <v>336</v>
      </c>
      <c r="K613" s="397" t="s">
        <v>1491</v>
      </c>
      <c r="L613" s="392" t="s">
        <v>1492</v>
      </c>
      <c r="M613" s="393">
        <v>425705920.28207451</v>
      </c>
      <c r="N613" s="393">
        <v>432935082.60810691</v>
      </c>
      <c r="O613" s="393">
        <v>34544702.240000002</v>
      </c>
      <c r="P613" s="393">
        <v>34645805.840000004</v>
      </c>
      <c r="Q613" s="393">
        <v>34798823.68</v>
      </c>
      <c r="R613" s="393">
        <v>35165886.049999997</v>
      </c>
      <c r="S613" s="393">
        <v>35165230.939999998</v>
      </c>
      <c r="T613" s="393">
        <v>35204324.75</v>
      </c>
      <c r="U613" s="393">
        <v>35472669.539999999</v>
      </c>
      <c r="V613" s="393">
        <v>35499994.696414903</v>
      </c>
      <c r="W613" s="393">
        <v>35915702.046414897</v>
      </c>
      <c r="X613" s="393">
        <v>36129550.6764149</v>
      </c>
      <c r="Y613" s="393">
        <v>36459280.9264149</v>
      </c>
      <c r="Z613" s="393">
        <v>36703948.896414898</v>
      </c>
      <c r="AA613" s="393">
        <v>425705920.28207451</v>
      </c>
    </row>
    <row r="614" spans="10:27" ht="15" customHeight="1" x14ac:dyDescent="0.2">
      <c r="J614" s="392" t="s">
        <v>336</v>
      </c>
      <c r="K614" s="398" t="s">
        <v>1493</v>
      </c>
      <c r="L614" s="392" t="s">
        <v>1494</v>
      </c>
      <c r="M614" s="393">
        <v>392820295.29000002</v>
      </c>
      <c r="N614" s="393">
        <v>400039223.58810687</v>
      </c>
      <c r="O614" s="393">
        <v>31931412.43</v>
      </c>
      <c r="P614" s="393">
        <v>32015315.43</v>
      </c>
      <c r="Q614" s="393">
        <v>32177040.41</v>
      </c>
      <c r="R614" s="393">
        <v>32467000.66</v>
      </c>
      <c r="S614" s="393">
        <v>32466625.300000001</v>
      </c>
      <c r="T614" s="393">
        <v>32502134.449999999</v>
      </c>
      <c r="U614" s="393">
        <v>32726971.870000001</v>
      </c>
      <c r="V614" s="393">
        <v>32729752.18</v>
      </c>
      <c r="W614" s="393">
        <v>33103644.710000001</v>
      </c>
      <c r="X614" s="393">
        <v>33306830.359999999</v>
      </c>
      <c r="Y614" s="393">
        <v>33592525.280000001</v>
      </c>
      <c r="Z614" s="393">
        <v>33801042.210000001</v>
      </c>
      <c r="AA614" s="393">
        <v>392820295.29000002</v>
      </c>
    </row>
    <row r="615" spans="10:27" ht="15" customHeight="1" x14ac:dyDescent="0.25">
      <c r="J615" s="400" t="s">
        <v>336</v>
      </c>
      <c r="K615" s="407" t="s">
        <v>1495</v>
      </c>
      <c r="L615" s="402" t="s">
        <v>1496</v>
      </c>
      <c r="M615" s="402">
        <v>372331433.26539248</v>
      </c>
      <c r="N615" s="402">
        <v>377889504.12</v>
      </c>
      <c r="O615" s="402">
        <v>30403369.190000001</v>
      </c>
      <c r="P615" s="402">
        <v>30494588.199999999</v>
      </c>
      <c r="Q615" s="402">
        <v>30637246.02</v>
      </c>
      <c r="R615" s="402">
        <v>30849106.920000002</v>
      </c>
      <c r="S615" s="402">
        <v>30840033.719999999</v>
      </c>
      <c r="T615" s="402">
        <v>30857396.390000001</v>
      </c>
      <c r="U615" s="402">
        <v>31052572.75</v>
      </c>
      <c r="V615" s="402">
        <v>31039288.429519199</v>
      </c>
      <c r="W615" s="402">
        <v>31290764.439422999</v>
      </c>
      <c r="X615" s="402">
        <v>31478274.049423002</v>
      </c>
      <c r="Y615" s="402">
        <v>31604903.872962099</v>
      </c>
      <c r="Z615" s="402">
        <v>31783889.284065198</v>
      </c>
      <c r="AA615" s="402">
        <v>372331433.26539248</v>
      </c>
    </row>
    <row r="616" spans="10:27" ht="15" customHeight="1" x14ac:dyDescent="0.25">
      <c r="J616" s="400" t="s">
        <v>336</v>
      </c>
      <c r="K616" s="407" t="s">
        <v>1497</v>
      </c>
      <c r="L616" s="402" t="s">
        <v>1498</v>
      </c>
      <c r="M616" s="402">
        <v>772211.41</v>
      </c>
      <c r="N616" s="402">
        <v>215616.84</v>
      </c>
      <c r="O616" s="402">
        <v>98723.53</v>
      </c>
      <c r="P616" s="402">
        <v>100359.8</v>
      </c>
      <c r="Q616" s="402">
        <v>101049.94</v>
      </c>
      <c r="R616" s="402">
        <v>105435.06</v>
      </c>
      <c r="S616" s="402">
        <v>102362.99</v>
      </c>
      <c r="T616" s="402">
        <v>110686</v>
      </c>
      <c r="U616" s="402">
        <v>105293.1</v>
      </c>
      <c r="V616" s="402">
        <v>993.81</v>
      </c>
      <c r="W616" s="402">
        <v>6441.97</v>
      </c>
      <c r="X616" s="402">
        <v>8725.6</v>
      </c>
      <c r="Y616" s="402">
        <v>12911.32</v>
      </c>
      <c r="Z616" s="402">
        <v>19228.29</v>
      </c>
      <c r="AA616" s="402">
        <v>772211.41</v>
      </c>
    </row>
    <row r="617" spans="10:27" ht="15" customHeight="1" x14ac:dyDescent="0.25">
      <c r="J617" s="400" t="s">
        <v>336</v>
      </c>
      <c r="K617" s="407" t="s">
        <v>1499</v>
      </c>
      <c r="L617" s="402" t="s">
        <v>1500</v>
      </c>
      <c r="M617" s="402">
        <v>4052882</v>
      </c>
      <c r="N617" s="402">
        <v>7951009</v>
      </c>
      <c r="O617" s="402">
        <v>549566</v>
      </c>
      <c r="P617" s="402">
        <v>549571</v>
      </c>
      <c r="Q617" s="402">
        <v>549571</v>
      </c>
      <c r="R617" s="402">
        <v>595613</v>
      </c>
      <c r="S617" s="402">
        <v>596018</v>
      </c>
      <c r="T617" s="402">
        <v>596018</v>
      </c>
      <c r="U617" s="402">
        <v>616525</v>
      </c>
      <c r="V617" s="402">
        <v>0</v>
      </c>
      <c r="W617" s="402">
        <v>0</v>
      </c>
      <c r="X617" s="402">
        <v>0</v>
      </c>
      <c r="Y617" s="402">
        <v>0</v>
      </c>
      <c r="Z617" s="402">
        <v>0</v>
      </c>
      <c r="AA617" s="402">
        <v>4052882</v>
      </c>
    </row>
    <row r="618" spans="10:27" ht="15" customHeight="1" x14ac:dyDescent="0.25">
      <c r="J618" s="400" t="s">
        <v>336</v>
      </c>
      <c r="K618" s="407" t="s">
        <v>1501</v>
      </c>
      <c r="L618" s="402" t="s">
        <v>1502</v>
      </c>
      <c r="M618" s="402">
        <v>8014743</v>
      </c>
      <c r="N618" s="402">
        <v>8014743</v>
      </c>
      <c r="O618" s="402">
        <v>667895.25</v>
      </c>
      <c r="P618" s="402">
        <v>667895.25</v>
      </c>
      <c r="Q618" s="402">
        <v>667895.25</v>
      </c>
      <c r="R618" s="402">
        <v>667895.25</v>
      </c>
      <c r="S618" s="402">
        <v>667895.25</v>
      </c>
      <c r="T618" s="402">
        <v>667895.25</v>
      </c>
      <c r="U618" s="402">
        <v>667895.25</v>
      </c>
      <c r="V618" s="402">
        <v>667895.25</v>
      </c>
      <c r="W618" s="402">
        <v>667895.25</v>
      </c>
      <c r="X618" s="402">
        <v>667895.25</v>
      </c>
      <c r="Y618" s="402">
        <v>667895.25</v>
      </c>
      <c r="Z618" s="402">
        <v>667895.25</v>
      </c>
      <c r="AA618" s="402">
        <v>8014743</v>
      </c>
    </row>
    <row r="619" spans="10:27" ht="15" customHeight="1" x14ac:dyDescent="0.25">
      <c r="J619" s="400" t="s">
        <v>336</v>
      </c>
      <c r="K619" s="407" t="s">
        <v>1503</v>
      </c>
      <c r="L619" s="402" t="s">
        <v>1504</v>
      </c>
      <c r="M619" s="402">
        <v>1198838.1100000001</v>
      </c>
      <c r="N619" s="402">
        <v>4170902.6981068999</v>
      </c>
      <c r="O619" s="402">
        <v>131566.32</v>
      </c>
      <c r="P619" s="402">
        <v>130947.69</v>
      </c>
      <c r="Q619" s="402">
        <v>151469.31</v>
      </c>
      <c r="R619" s="402">
        <v>179141.54</v>
      </c>
      <c r="S619" s="402">
        <v>190506.45</v>
      </c>
      <c r="T619" s="402">
        <v>200329.92</v>
      </c>
      <c r="U619" s="402">
        <v>214876.88</v>
      </c>
      <c r="V619" s="402">
        <v>0</v>
      </c>
      <c r="W619" s="402">
        <v>0</v>
      </c>
      <c r="X619" s="402">
        <v>0</v>
      </c>
      <c r="Y619" s="402">
        <v>0</v>
      </c>
      <c r="Z619" s="402">
        <v>0</v>
      </c>
      <c r="AA619" s="402">
        <v>1198838.1100000001</v>
      </c>
    </row>
    <row r="620" spans="10:27" ht="15" customHeight="1" x14ac:dyDescent="0.25">
      <c r="J620" s="400" t="s">
        <v>336</v>
      </c>
      <c r="K620" s="407" t="s">
        <v>1505</v>
      </c>
      <c r="L620" s="402" t="s">
        <v>1506</v>
      </c>
      <c r="M620" s="402">
        <v>101755</v>
      </c>
      <c r="N620" s="402">
        <v>0</v>
      </c>
      <c r="O620" s="402">
        <v>0</v>
      </c>
      <c r="P620" s="402">
        <v>0</v>
      </c>
      <c r="Q620" s="402">
        <v>0</v>
      </c>
      <c r="R620" s="402">
        <v>0</v>
      </c>
      <c r="S620" s="402">
        <v>0</v>
      </c>
      <c r="T620" s="402">
        <v>0</v>
      </c>
      <c r="U620" s="402">
        <v>0</v>
      </c>
      <c r="V620" s="402">
        <v>20351</v>
      </c>
      <c r="W620" s="402">
        <v>20351</v>
      </c>
      <c r="X620" s="402">
        <v>20351</v>
      </c>
      <c r="Y620" s="402">
        <v>20351</v>
      </c>
      <c r="Z620" s="402">
        <v>20351</v>
      </c>
      <c r="AA620" s="402">
        <v>101755</v>
      </c>
    </row>
    <row r="621" spans="10:27" ht="15" customHeight="1" x14ac:dyDescent="0.25">
      <c r="J621" s="400" t="s">
        <v>336</v>
      </c>
      <c r="K621" s="407" t="s">
        <v>1507</v>
      </c>
      <c r="L621" s="402" t="s">
        <v>1508</v>
      </c>
      <c r="M621" s="402">
        <v>408643.48</v>
      </c>
      <c r="N621" s="402">
        <v>959739.93</v>
      </c>
      <c r="O621" s="402">
        <v>0</v>
      </c>
      <c r="P621" s="402">
        <v>0</v>
      </c>
      <c r="Q621" s="402">
        <v>0</v>
      </c>
      <c r="R621" s="402">
        <v>0</v>
      </c>
      <c r="S621" s="402">
        <v>0</v>
      </c>
      <c r="T621" s="402">
        <v>0</v>
      </c>
      <c r="U621" s="402">
        <v>0</v>
      </c>
      <c r="V621" s="402">
        <v>81137.34</v>
      </c>
      <c r="W621" s="402">
        <v>81092.7</v>
      </c>
      <c r="X621" s="402">
        <v>81582.83</v>
      </c>
      <c r="Y621" s="402">
        <v>82077.429999999993</v>
      </c>
      <c r="Z621" s="402">
        <v>82753.179999999993</v>
      </c>
      <c r="AA621" s="402">
        <v>408643.48</v>
      </c>
    </row>
    <row r="622" spans="10:27" ht="15" customHeight="1" x14ac:dyDescent="0.25">
      <c r="J622" s="400" t="s">
        <v>336</v>
      </c>
      <c r="K622" s="407" t="s">
        <v>1509</v>
      </c>
      <c r="L622" s="402" t="s">
        <v>1510</v>
      </c>
      <c r="M622" s="402">
        <v>3135382</v>
      </c>
      <c r="N622" s="402">
        <v>0</v>
      </c>
      <c r="O622" s="402">
        <v>0</v>
      </c>
      <c r="P622" s="402">
        <v>0</v>
      </c>
      <c r="Q622" s="402">
        <v>0</v>
      </c>
      <c r="R622" s="402">
        <v>0</v>
      </c>
      <c r="S622" s="402">
        <v>0</v>
      </c>
      <c r="T622" s="402">
        <v>0</v>
      </c>
      <c r="U622" s="402">
        <v>0</v>
      </c>
      <c r="V622" s="402">
        <v>622388</v>
      </c>
      <c r="W622" s="402">
        <v>622388</v>
      </c>
      <c r="X622" s="402">
        <v>622388</v>
      </c>
      <c r="Y622" s="402">
        <v>634110</v>
      </c>
      <c r="Z622" s="402">
        <v>634108</v>
      </c>
      <c r="AA622" s="402">
        <v>3135382</v>
      </c>
    </row>
    <row r="623" spans="10:27" ht="15" customHeight="1" x14ac:dyDescent="0.25">
      <c r="J623" s="400" t="s">
        <v>336</v>
      </c>
      <c r="K623" s="407" t="s">
        <v>1511</v>
      </c>
      <c r="L623" s="402" t="s">
        <v>1512</v>
      </c>
      <c r="M623" s="402">
        <v>1954071.9446075</v>
      </c>
      <c r="N623" s="402">
        <v>0</v>
      </c>
      <c r="O623" s="402">
        <v>0</v>
      </c>
      <c r="P623" s="402">
        <v>0</v>
      </c>
      <c r="Q623" s="402">
        <v>0</v>
      </c>
      <c r="R623" s="402">
        <v>0</v>
      </c>
      <c r="S623" s="402">
        <v>0</v>
      </c>
      <c r="T623" s="402">
        <v>0</v>
      </c>
      <c r="U623" s="402">
        <v>0</v>
      </c>
      <c r="V623" s="402">
        <v>227889.3504808</v>
      </c>
      <c r="W623" s="402">
        <v>344902.350577</v>
      </c>
      <c r="X623" s="402">
        <v>357804.63057699997</v>
      </c>
      <c r="Y623" s="402">
        <v>500467.4070379</v>
      </c>
      <c r="Z623" s="402">
        <v>523008.20593479997</v>
      </c>
      <c r="AA623" s="402">
        <v>1954071.9446075</v>
      </c>
    </row>
    <row r="624" spans="10:27" ht="15" customHeight="1" x14ac:dyDescent="0.25">
      <c r="J624" s="400" t="s">
        <v>336</v>
      </c>
      <c r="K624" s="407" t="s">
        <v>1513</v>
      </c>
      <c r="L624" s="402" t="s">
        <v>1514</v>
      </c>
      <c r="M624" s="402">
        <v>501290.08</v>
      </c>
      <c r="N624" s="402">
        <v>837708</v>
      </c>
      <c r="O624" s="402">
        <v>80292.14</v>
      </c>
      <c r="P624" s="402">
        <v>71953.490000000005</v>
      </c>
      <c r="Q624" s="402">
        <v>69808.89</v>
      </c>
      <c r="R624" s="402">
        <v>69808.89</v>
      </c>
      <c r="S624" s="402">
        <v>69808.89</v>
      </c>
      <c r="T624" s="402">
        <v>69808.89</v>
      </c>
      <c r="U624" s="402">
        <v>69808.89</v>
      </c>
      <c r="V624" s="402">
        <v>0</v>
      </c>
      <c r="W624" s="402">
        <v>0</v>
      </c>
      <c r="X624" s="402">
        <v>0</v>
      </c>
      <c r="Y624" s="402">
        <v>0</v>
      </c>
      <c r="Z624" s="402">
        <v>0</v>
      </c>
      <c r="AA624" s="402">
        <v>501290.08</v>
      </c>
    </row>
    <row r="625" spans="10:27" ht="15" customHeight="1" x14ac:dyDescent="0.25">
      <c r="J625" s="400" t="s">
        <v>336</v>
      </c>
      <c r="K625" s="407" t="s">
        <v>1515</v>
      </c>
      <c r="L625" s="402" t="s">
        <v>1516</v>
      </c>
      <c r="M625" s="402">
        <v>349045</v>
      </c>
      <c r="N625" s="402">
        <v>0</v>
      </c>
      <c r="O625" s="402">
        <v>0</v>
      </c>
      <c r="P625" s="402">
        <v>0</v>
      </c>
      <c r="Q625" s="402">
        <v>0</v>
      </c>
      <c r="R625" s="402">
        <v>0</v>
      </c>
      <c r="S625" s="402">
        <v>0</v>
      </c>
      <c r="T625" s="402">
        <v>0</v>
      </c>
      <c r="U625" s="402">
        <v>0</v>
      </c>
      <c r="V625" s="402">
        <v>69809</v>
      </c>
      <c r="W625" s="402">
        <v>69809</v>
      </c>
      <c r="X625" s="402">
        <v>69809</v>
      </c>
      <c r="Y625" s="402">
        <v>69809</v>
      </c>
      <c r="Z625" s="402">
        <v>69809</v>
      </c>
      <c r="AA625" s="402">
        <v>349045</v>
      </c>
    </row>
    <row r="626" spans="10:27" ht="15" customHeight="1" x14ac:dyDescent="0.2">
      <c r="J626" s="392" t="s">
        <v>336</v>
      </c>
      <c r="K626" s="398" t="s">
        <v>1517</v>
      </c>
      <c r="L626" s="392" t="s">
        <v>1518</v>
      </c>
      <c r="M626" s="393">
        <v>32885624.992074501</v>
      </c>
      <c r="N626" s="393">
        <v>32895859.02</v>
      </c>
      <c r="O626" s="393">
        <v>2613289.81</v>
      </c>
      <c r="P626" s="393">
        <v>2630490.41</v>
      </c>
      <c r="Q626" s="393">
        <v>2621783.27</v>
      </c>
      <c r="R626" s="393">
        <v>2698885.39</v>
      </c>
      <c r="S626" s="393">
        <v>2698605.64</v>
      </c>
      <c r="T626" s="393">
        <v>2702190.3</v>
      </c>
      <c r="U626" s="393">
        <v>2745697.67</v>
      </c>
      <c r="V626" s="393">
        <v>2770242.5164148998</v>
      </c>
      <c r="W626" s="393">
        <v>2812057.3364149001</v>
      </c>
      <c r="X626" s="393">
        <v>2822720.3164149001</v>
      </c>
      <c r="Y626" s="393">
        <v>2866755.6464149002</v>
      </c>
      <c r="Z626" s="393">
        <v>2902906.6864148998</v>
      </c>
      <c r="AA626" s="393">
        <v>32885624.992074501</v>
      </c>
    </row>
    <row r="627" spans="10:27" ht="15" customHeight="1" x14ac:dyDescent="0.25">
      <c r="J627" s="400" t="s">
        <v>336</v>
      </c>
      <c r="K627" s="407" t="s">
        <v>1519</v>
      </c>
      <c r="L627" s="402" t="s">
        <v>1520</v>
      </c>
      <c r="M627" s="402">
        <v>32239096.859999999</v>
      </c>
      <c r="N627" s="402">
        <v>32328574.379999999</v>
      </c>
      <c r="O627" s="402">
        <v>2566016.11</v>
      </c>
      <c r="P627" s="402">
        <v>2572938.34</v>
      </c>
      <c r="Q627" s="402">
        <v>2581201.52</v>
      </c>
      <c r="R627" s="402">
        <v>2641333.3199999998</v>
      </c>
      <c r="S627" s="402">
        <v>2641053.6</v>
      </c>
      <c r="T627" s="402">
        <v>2661486.12</v>
      </c>
      <c r="U627" s="402">
        <v>2688145.63</v>
      </c>
      <c r="V627" s="402">
        <v>2712690.46</v>
      </c>
      <c r="W627" s="402">
        <v>2754505.28</v>
      </c>
      <c r="X627" s="402">
        <v>2765168.26</v>
      </c>
      <c r="Y627" s="402">
        <v>2809203.59</v>
      </c>
      <c r="Z627" s="402">
        <v>2845354.63</v>
      </c>
      <c r="AA627" s="402">
        <v>32239096.859999999</v>
      </c>
    </row>
    <row r="628" spans="10:27" ht="15" customHeight="1" x14ac:dyDescent="0.25">
      <c r="J628" s="400" t="s">
        <v>336</v>
      </c>
      <c r="K628" s="407" t="s">
        <v>1521</v>
      </c>
      <c r="L628" s="402" t="s">
        <v>1522</v>
      </c>
      <c r="M628" s="402">
        <v>185749.28</v>
      </c>
      <c r="N628" s="402">
        <v>185749.32</v>
      </c>
      <c r="O628" s="402">
        <v>15479.1</v>
      </c>
      <c r="P628" s="402">
        <v>15479.11</v>
      </c>
      <c r="Q628" s="402">
        <v>15479.1</v>
      </c>
      <c r="R628" s="402">
        <v>15479.11</v>
      </c>
      <c r="S628" s="402">
        <v>15479.1</v>
      </c>
      <c r="T628" s="402">
        <v>15479.11</v>
      </c>
      <c r="U628" s="402">
        <v>15479.1</v>
      </c>
      <c r="V628" s="402">
        <v>15479.11</v>
      </c>
      <c r="W628" s="402">
        <v>15479.11</v>
      </c>
      <c r="X628" s="402">
        <v>15479.11</v>
      </c>
      <c r="Y628" s="402">
        <v>15479.11</v>
      </c>
      <c r="Z628" s="402">
        <v>15479.11</v>
      </c>
      <c r="AA628" s="402">
        <v>185749.28</v>
      </c>
    </row>
    <row r="629" spans="10:27" ht="15" customHeight="1" x14ac:dyDescent="0.25">
      <c r="J629" s="400" t="s">
        <v>336</v>
      </c>
      <c r="K629" s="407" t="s">
        <v>1523</v>
      </c>
      <c r="L629" s="402" t="s">
        <v>1524</v>
      </c>
      <c r="M629" s="402">
        <v>50959.43</v>
      </c>
      <c r="N629" s="402">
        <v>50959.44</v>
      </c>
      <c r="O629" s="402">
        <v>4246.6099999999997</v>
      </c>
      <c r="P629" s="402">
        <v>4246.63</v>
      </c>
      <c r="Q629" s="402">
        <v>4246.6099999999997</v>
      </c>
      <c r="R629" s="402">
        <v>4246.63</v>
      </c>
      <c r="S629" s="402">
        <v>4246.6099999999997</v>
      </c>
      <c r="T629" s="402">
        <v>4246.63</v>
      </c>
      <c r="U629" s="402">
        <v>4246.6099999999997</v>
      </c>
      <c r="V629" s="402">
        <v>4246.62</v>
      </c>
      <c r="W629" s="402">
        <v>4246.62</v>
      </c>
      <c r="X629" s="402">
        <v>4246.62</v>
      </c>
      <c r="Y629" s="402">
        <v>4246.62</v>
      </c>
      <c r="Z629" s="402">
        <v>4246.62</v>
      </c>
      <c r="AA629" s="402">
        <v>50959.43</v>
      </c>
    </row>
    <row r="630" spans="10:27" ht="15" customHeight="1" x14ac:dyDescent="0.25">
      <c r="J630" s="400" t="s">
        <v>336</v>
      </c>
      <c r="K630" s="407" t="s">
        <v>1525</v>
      </c>
      <c r="L630" s="402" t="s">
        <v>1526</v>
      </c>
      <c r="M630" s="402">
        <v>220687.79</v>
      </c>
      <c r="N630" s="402">
        <v>0</v>
      </c>
      <c r="O630" s="402">
        <v>27547.99</v>
      </c>
      <c r="P630" s="402">
        <v>37826.33</v>
      </c>
      <c r="Q630" s="402">
        <v>20856.04</v>
      </c>
      <c r="R630" s="402">
        <v>37826.33</v>
      </c>
      <c r="S630" s="402">
        <v>37826.33</v>
      </c>
      <c r="T630" s="402">
        <v>20978.44</v>
      </c>
      <c r="U630" s="402">
        <v>37826.33</v>
      </c>
      <c r="V630" s="402">
        <v>0</v>
      </c>
      <c r="W630" s="402">
        <v>0</v>
      </c>
      <c r="X630" s="402">
        <v>0</v>
      </c>
      <c r="Y630" s="402">
        <v>0</v>
      </c>
      <c r="Z630" s="402">
        <v>0</v>
      </c>
      <c r="AA630" s="402">
        <v>220687.79</v>
      </c>
    </row>
    <row r="631" spans="10:27" ht="15" customHeight="1" x14ac:dyDescent="0.25">
      <c r="J631" s="400" t="s">
        <v>336</v>
      </c>
      <c r="K631" s="407" t="s">
        <v>1527</v>
      </c>
      <c r="L631" s="402" t="s">
        <v>1528</v>
      </c>
      <c r="M631" s="402">
        <v>189131.6320745</v>
      </c>
      <c r="N631" s="402">
        <v>330575.88</v>
      </c>
      <c r="O631" s="402">
        <v>0</v>
      </c>
      <c r="P631" s="402">
        <v>0</v>
      </c>
      <c r="Q631" s="402">
        <v>0</v>
      </c>
      <c r="R631" s="402">
        <v>0</v>
      </c>
      <c r="S631" s="402">
        <v>0</v>
      </c>
      <c r="T631" s="402">
        <v>0</v>
      </c>
      <c r="U631" s="402">
        <v>0</v>
      </c>
      <c r="V631" s="402">
        <v>37826.326414900002</v>
      </c>
      <c r="W631" s="402">
        <v>37826.326414900002</v>
      </c>
      <c r="X631" s="402">
        <v>37826.326414900002</v>
      </c>
      <c r="Y631" s="402">
        <v>37826.326414900002</v>
      </c>
      <c r="Z631" s="402">
        <v>37826.326414900002</v>
      </c>
      <c r="AA631" s="402">
        <v>189131.6320745</v>
      </c>
    </row>
    <row r="632" spans="10:27" ht="15" customHeight="1" x14ac:dyDescent="0.2">
      <c r="J632" s="392" t="s">
        <v>336</v>
      </c>
      <c r="K632" s="397" t="s">
        <v>1529</v>
      </c>
      <c r="L632" s="392" t="s">
        <v>1530</v>
      </c>
      <c r="M632" s="393">
        <v>233167627.87784481</v>
      </c>
      <c r="N632" s="393">
        <v>245298458.1984843</v>
      </c>
      <c r="O632" s="393">
        <v>17888755.670000002</v>
      </c>
      <c r="P632" s="393">
        <v>16847112.5</v>
      </c>
      <c r="Q632" s="393">
        <v>17283345.010000002</v>
      </c>
      <c r="R632" s="393">
        <v>18726304.870000001</v>
      </c>
      <c r="S632" s="393">
        <v>19263857.399999999</v>
      </c>
      <c r="T632" s="393">
        <v>20373264.149999999</v>
      </c>
      <c r="U632" s="393">
        <v>22134863.010000002</v>
      </c>
      <c r="V632" s="393">
        <v>21418546.712001</v>
      </c>
      <c r="W632" s="393">
        <v>21688594.834653102</v>
      </c>
      <c r="X632" s="393">
        <v>20619018.5253915</v>
      </c>
      <c r="Y632" s="393">
        <v>18608525.682602402</v>
      </c>
      <c r="Z632" s="393">
        <v>18315439.5131968</v>
      </c>
      <c r="AA632" s="393">
        <v>233167627.87784481</v>
      </c>
    </row>
    <row r="633" spans="10:27" ht="15" customHeight="1" x14ac:dyDescent="0.25">
      <c r="J633" s="400" t="s">
        <v>336</v>
      </c>
      <c r="K633" s="408" t="s">
        <v>1531</v>
      </c>
      <c r="L633" s="402" t="s">
        <v>1532</v>
      </c>
      <c r="M633" s="402">
        <v>37393878.57</v>
      </c>
      <c r="N633" s="402">
        <v>71993000</v>
      </c>
      <c r="O633" s="402">
        <v>4791177.3099999996</v>
      </c>
      <c r="P633" s="402">
        <v>4428281.03</v>
      </c>
      <c r="Q633" s="402">
        <v>4521765.38</v>
      </c>
      <c r="R633" s="402">
        <v>5289998.8</v>
      </c>
      <c r="S633" s="402">
        <v>5562286.5999999996</v>
      </c>
      <c r="T633" s="402">
        <v>5948601.9000000004</v>
      </c>
      <c r="U633" s="402">
        <v>6851767.5499999998</v>
      </c>
      <c r="V633" s="402">
        <v>0</v>
      </c>
      <c r="W633" s="402">
        <v>0</v>
      </c>
      <c r="X633" s="402">
        <v>0</v>
      </c>
      <c r="Y633" s="402">
        <v>0</v>
      </c>
      <c r="Z633" s="402">
        <v>0</v>
      </c>
      <c r="AA633" s="402">
        <v>37393878.57</v>
      </c>
    </row>
    <row r="634" spans="10:27" ht="15" customHeight="1" x14ac:dyDescent="0.25">
      <c r="J634" s="400" t="s">
        <v>336</v>
      </c>
      <c r="K634" s="408" t="s">
        <v>1533</v>
      </c>
      <c r="L634" s="402" t="s">
        <v>1534</v>
      </c>
      <c r="M634" s="402">
        <v>39531426.789999999</v>
      </c>
      <c r="N634" s="402">
        <v>75083000</v>
      </c>
      <c r="O634" s="402">
        <v>5083567.6100000003</v>
      </c>
      <c r="P634" s="402">
        <v>4519339.7300000004</v>
      </c>
      <c r="Q634" s="402">
        <v>4693489.9000000004</v>
      </c>
      <c r="R634" s="402">
        <v>5570240.3399999999</v>
      </c>
      <c r="S634" s="402">
        <v>5877160.2599999998</v>
      </c>
      <c r="T634" s="402">
        <v>6427757.5999999996</v>
      </c>
      <c r="U634" s="402">
        <v>7359871.3499999996</v>
      </c>
      <c r="V634" s="402">
        <v>0</v>
      </c>
      <c r="W634" s="402">
        <v>0</v>
      </c>
      <c r="X634" s="402">
        <v>0</v>
      </c>
      <c r="Y634" s="402">
        <v>0</v>
      </c>
      <c r="Z634" s="402">
        <v>0</v>
      </c>
      <c r="AA634" s="402">
        <v>39531426.789999999</v>
      </c>
    </row>
    <row r="635" spans="10:27" ht="15" customHeight="1" x14ac:dyDescent="0.25">
      <c r="J635" s="400" t="s">
        <v>336</v>
      </c>
      <c r="K635" s="408" t="s">
        <v>1535</v>
      </c>
      <c r="L635" s="402" t="s">
        <v>1536</v>
      </c>
      <c r="M635" s="402">
        <v>11224700.74</v>
      </c>
      <c r="N635" s="402">
        <v>14626191.9512734</v>
      </c>
      <c r="O635" s="402">
        <v>1586953.07</v>
      </c>
      <c r="P635" s="402">
        <v>1485899.1</v>
      </c>
      <c r="Q635" s="402">
        <v>3997401.92</v>
      </c>
      <c r="R635" s="402">
        <v>1447838.44</v>
      </c>
      <c r="S635" s="402">
        <v>1504135.11</v>
      </c>
      <c r="T635" s="402">
        <v>2272070.94</v>
      </c>
      <c r="U635" s="402">
        <v>-1069597.8400000001</v>
      </c>
      <c r="V635" s="402">
        <v>0</v>
      </c>
      <c r="W635" s="402">
        <v>0</v>
      </c>
      <c r="X635" s="402">
        <v>0</v>
      </c>
      <c r="Y635" s="402">
        <v>0</v>
      </c>
      <c r="Z635" s="402">
        <v>0</v>
      </c>
      <c r="AA635" s="402">
        <v>11224700.74</v>
      </c>
    </row>
    <row r="636" spans="10:27" ht="15" customHeight="1" x14ac:dyDescent="0.25">
      <c r="J636" s="400" t="s">
        <v>336</v>
      </c>
      <c r="K636" s="408" t="s">
        <v>1537</v>
      </c>
      <c r="L636" s="402" t="s">
        <v>1538</v>
      </c>
      <c r="M636" s="402">
        <v>1575747.35</v>
      </c>
      <c r="N636" s="402">
        <v>-9249.6350364000009</v>
      </c>
      <c r="O636" s="402">
        <v>173967</v>
      </c>
      <c r="P636" s="402">
        <v>173967</v>
      </c>
      <c r="Q636" s="402">
        <v>-2084442.7</v>
      </c>
      <c r="R636" s="402">
        <v>173966.67</v>
      </c>
      <c r="S636" s="402">
        <v>173966.67</v>
      </c>
      <c r="T636" s="402">
        <v>258709.34</v>
      </c>
      <c r="U636" s="402">
        <v>2705613.37</v>
      </c>
      <c r="V636" s="402">
        <v>0</v>
      </c>
      <c r="W636" s="402">
        <v>0</v>
      </c>
      <c r="X636" s="402">
        <v>0</v>
      </c>
      <c r="Y636" s="402">
        <v>0</v>
      </c>
      <c r="Z636" s="402">
        <v>0</v>
      </c>
      <c r="AA636" s="402">
        <v>1575747.35</v>
      </c>
    </row>
    <row r="637" spans="10:27" ht="15" customHeight="1" x14ac:dyDescent="0.25">
      <c r="J637" s="400" t="s">
        <v>336</v>
      </c>
      <c r="K637" s="408" t="s">
        <v>1539</v>
      </c>
      <c r="L637" s="402" t="s">
        <v>1540</v>
      </c>
      <c r="M637" s="402">
        <v>2439005.2182831001</v>
      </c>
      <c r="N637" s="402">
        <v>5629845.6771200998</v>
      </c>
      <c r="O637" s="402">
        <v>0</v>
      </c>
      <c r="P637" s="402">
        <v>5.38</v>
      </c>
      <c r="Q637" s="402">
        <v>0</v>
      </c>
      <c r="R637" s="402">
        <v>0</v>
      </c>
      <c r="S637" s="402">
        <v>7615.05</v>
      </c>
      <c r="T637" s="402">
        <v>-1038.42</v>
      </c>
      <c r="U637" s="402">
        <v>0</v>
      </c>
      <c r="V637" s="402">
        <v>474729.83070499997</v>
      </c>
      <c r="W637" s="402">
        <v>445029.98738040001</v>
      </c>
      <c r="X637" s="402">
        <v>452567.06687799998</v>
      </c>
      <c r="Y637" s="402">
        <v>455776.5892166</v>
      </c>
      <c r="Z637" s="402">
        <v>604319.73410310003</v>
      </c>
      <c r="AA637" s="402">
        <v>2439005.2182831001</v>
      </c>
    </row>
    <row r="638" spans="10:27" ht="15" customHeight="1" x14ac:dyDescent="0.25">
      <c r="J638" s="400" t="s">
        <v>336</v>
      </c>
      <c r="K638" s="408" t="s">
        <v>1541</v>
      </c>
      <c r="L638" s="402" t="s">
        <v>1542</v>
      </c>
      <c r="M638" s="402">
        <v>46249000</v>
      </c>
      <c r="N638" s="402">
        <v>79284000</v>
      </c>
      <c r="O638" s="402">
        <v>6607000</v>
      </c>
      <c r="P638" s="402">
        <v>6607000</v>
      </c>
      <c r="Q638" s="402">
        <v>6607000</v>
      </c>
      <c r="R638" s="402">
        <v>6607000</v>
      </c>
      <c r="S638" s="402">
        <v>6607000</v>
      </c>
      <c r="T638" s="402">
        <v>6607000</v>
      </c>
      <c r="U638" s="402">
        <v>6607000</v>
      </c>
      <c r="V638" s="402">
        <v>0</v>
      </c>
      <c r="W638" s="402">
        <v>0</v>
      </c>
      <c r="X638" s="402">
        <v>0</v>
      </c>
      <c r="Y638" s="402">
        <v>0</v>
      </c>
      <c r="Z638" s="402">
        <v>0</v>
      </c>
      <c r="AA638" s="402">
        <v>46249000</v>
      </c>
    </row>
    <row r="639" spans="10:27" ht="15" customHeight="1" x14ac:dyDescent="0.25">
      <c r="J639" s="400" t="s">
        <v>336</v>
      </c>
      <c r="K639" s="408" t="s">
        <v>1543</v>
      </c>
      <c r="L639" s="402" t="s">
        <v>1544</v>
      </c>
      <c r="M639" s="402">
        <v>0</v>
      </c>
      <c r="N639" s="402">
        <v>108000</v>
      </c>
      <c r="O639" s="402">
        <v>0</v>
      </c>
      <c r="P639" s="402">
        <v>0</v>
      </c>
      <c r="Q639" s="402">
        <v>0</v>
      </c>
      <c r="R639" s="402">
        <v>0</v>
      </c>
      <c r="S639" s="402">
        <v>0</v>
      </c>
      <c r="T639" s="402">
        <v>0</v>
      </c>
      <c r="U639" s="402">
        <v>0</v>
      </c>
      <c r="V639" s="402">
        <v>0</v>
      </c>
      <c r="W639" s="402">
        <v>0</v>
      </c>
      <c r="X639" s="402">
        <v>0</v>
      </c>
      <c r="Y639" s="402">
        <v>0</v>
      </c>
      <c r="Z639" s="402">
        <v>0</v>
      </c>
      <c r="AA639" s="402">
        <v>0</v>
      </c>
    </row>
    <row r="640" spans="10:27" ht="15" customHeight="1" x14ac:dyDescent="0.25">
      <c r="J640" s="400" t="s">
        <v>336</v>
      </c>
      <c r="K640" s="408" t="s">
        <v>1545</v>
      </c>
      <c r="L640" s="402" t="s">
        <v>1546</v>
      </c>
      <c r="M640" s="402">
        <v>63000</v>
      </c>
      <c r="N640" s="402">
        <v>0</v>
      </c>
      <c r="O640" s="402">
        <v>9000</v>
      </c>
      <c r="P640" s="402">
        <v>9000</v>
      </c>
      <c r="Q640" s="402">
        <v>9000</v>
      </c>
      <c r="R640" s="402">
        <v>9000</v>
      </c>
      <c r="S640" s="402">
        <v>9000</v>
      </c>
      <c r="T640" s="402">
        <v>9000</v>
      </c>
      <c r="U640" s="402">
        <v>9000</v>
      </c>
      <c r="V640" s="402">
        <v>0</v>
      </c>
      <c r="W640" s="402">
        <v>0</v>
      </c>
      <c r="X640" s="402">
        <v>0</v>
      </c>
      <c r="Y640" s="402">
        <v>0</v>
      </c>
      <c r="Z640" s="402">
        <v>0</v>
      </c>
      <c r="AA640" s="402">
        <v>63000</v>
      </c>
    </row>
    <row r="641" spans="10:27" ht="15" customHeight="1" x14ac:dyDescent="0.25">
      <c r="J641" s="400" t="s">
        <v>336</v>
      </c>
      <c r="K641" s="408" t="s">
        <v>1547</v>
      </c>
      <c r="L641" s="402" t="s">
        <v>1548</v>
      </c>
      <c r="M641" s="402">
        <v>1060236.97</v>
      </c>
      <c r="N641" s="402">
        <v>2202000</v>
      </c>
      <c r="O641" s="402">
        <v>140629.26999999999</v>
      </c>
      <c r="P641" s="402">
        <v>128096.11</v>
      </c>
      <c r="Q641" s="402">
        <v>124866.58</v>
      </c>
      <c r="R641" s="402">
        <v>156349.49</v>
      </c>
      <c r="S641" s="402">
        <v>156543.17000000001</v>
      </c>
      <c r="T641" s="402">
        <v>164066.93</v>
      </c>
      <c r="U641" s="402">
        <v>189685.42</v>
      </c>
      <c r="V641" s="402">
        <v>0</v>
      </c>
      <c r="W641" s="402">
        <v>0</v>
      </c>
      <c r="X641" s="402">
        <v>0</v>
      </c>
      <c r="Y641" s="402">
        <v>0</v>
      </c>
      <c r="Z641" s="402">
        <v>0</v>
      </c>
      <c r="AA641" s="402">
        <v>1060236.97</v>
      </c>
    </row>
    <row r="642" spans="10:27" ht="15" customHeight="1" x14ac:dyDescent="0.25">
      <c r="J642" s="400" t="s">
        <v>336</v>
      </c>
      <c r="K642" s="408" t="s">
        <v>1549</v>
      </c>
      <c r="L642" s="402" t="s">
        <v>1550</v>
      </c>
      <c r="M642" s="402">
        <v>107334.18</v>
      </c>
      <c r="N642" s="402">
        <v>240000</v>
      </c>
      <c r="O642" s="402">
        <v>21342.73</v>
      </c>
      <c r="P642" s="402">
        <v>16883.05</v>
      </c>
      <c r="Q642" s="402">
        <v>14912.79</v>
      </c>
      <c r="R642" s="402">
        <v>14076.1</v>
      </c>
      <c r="S642" s="402">
        <v>13603.17</v>
      </c>
      <c r="T642" s="402">
        <v>13410.65</v>
      </c>
      <c r="U642" s="402">
        <v>13105.69</v>
      </c>
      <c r="V642" s="402">
        <v>0</v>
      </c>
      <c r="W642" s="402">
        <v>0</v>
      </c>
      <c r="X642" s="402">
        <v>0</v>
      </c>
      <c r="Y642" s="402">
        <v>0</v>
      </c>
      <c r="Z642" s="402">
        <v>0</v>
      </c>
      <c r="AA642" s="402">
        <v>107334.18</v>
      </c>
    </row>
    <row r="643" spans="10:27" ht="15" customHeight="1" x14ac:dyDescent="0.25">
      <c r="J643" s="400" t="s">
        <v>336</v>
      </c>
      <c r="K643" s="408" t="s">
        <v>1551</v>
      </c>
      <c r="L643" s="402" t="s">
        <v>1552</v>
      </c>
      <c r="M643" s="402">
        <v>1534.11</v>
      </c>
      <c r="N643" s="402">
        <v>4000</v>
      </c>
      <c r="O643" s="402">
        <v>0</v>
      </c>
      <c r="P643" s="402">
        <v>1534.11</v>
      </c>
      <c r="Q643" s="402">
        <v>0</v>
      </c>
      <c r="R643" s="402">
        <v>0</v>
      </c>
      <c r="S643" s="402">
        <v>0</v>
      </c>
      <c r="T643" s="402">
        <v>0</v>
      </c>
      <c r="U643" s="402">
        <v>0</v>
      </c>
      <c r="V643" s="402">
        <v>0</v>
      </c>
      <c r="W643" s="402">
        <v>0</v>
      </c>
      <c r="X643" s="402">
        <v>0</v>
      </c>
      <c r="Y643" s="402">
        <v>0</v>
      </c>
      <c r="Z643" s="402">
        <v>0</v>
      </c>
      <c r="AA643" s="402">
        <v>1534.11</v>
      </c>
    </row>
    <row r="644" spans="10:27" ht="15" customHeight="1" x14ac:dyDescent="0.25">
      <c r="J644" s="400" t="s">
        <v>336</v>
      </c>
      <c r="K644" s="408" t="s">
        <v>1553</v>
      </c>
      <c r="L644" s="402" t="s">
        <v>1554</v>
      </c>
      <c r="M644" s="402">
        <v>35587.5</v>
      </c>
      <c r="N644" s="402">
        <v>50000</v>
      </c>
      <c r="O644" s="402">
        <v>0</v>
      </c>
      <c r="P644" s="402">
        <v>0</v>
      </c>
      <c r="Q644" s="402">
        <v>412.5</v>
      </c>
      <c r="R644" s="402">
        <v>0</v>
      </c>
      <c r="S644" s="402">
        <v>0</v>
      </c>
      <c r="T644" s="402">
        <v>0</v>
      </c>
      <c r="U644" s="402">
        <v>35175</v>
      </c>
      <c r="V644" s="402">
        <v>0</v>
      </c>
      <c r="W644" s="402">
        <v>0</v>
      </c>
      <c r="X644" s="402">
        <v>0</v>
      </c>
      <c r="Y644" s="402">
        <v>0</v>
      </c>
      <c r="Z644" s="402">
        <v>0</v>
      </c>
      <c r="AA644" s="402">
        <v>35587.5</v>
      </c>
    </row>
    <row r="645" spans="10:27" ht="15" customHeight="1" x14ac:dyDescent="0.25">
      <c r="J645" s="400" t="s">
        <v>336</v>
      </c>
      <c r="K645" s="408" t="s">
        <v>1555</v>
      </c>
      <c r="L645" s="402" t="s">
        <v>1556</v>
      </c>
      <c r="M645" s="402">
        <v>0</v>
      </c>
      <c r="N645" s="402">
        <v>12000</v>
      </c>
      <c r="O645" s="402">
        <v>0</v>
      </c>
      <c r="P645" s="402">
        <v>0</v>
      </c>
      <c r="Q645" s="402">
        <v>0</v>
      </c>
      <c r="R645" s="402">
        <v>0</v>
      </c>
      <c r="S645" s="402">
        <v>0</v>
      </c>
      <c r="T645" s="402">
        <v>0</v>
      </c>
      <c r="U645" s="402">
        <v>0</v>
      </c>
      <c r="V645" s="402">
        <v>0</v>
      </c>
      <c r="W645" s="402">
        <v>0</v>
      </c>
      <c r="X645" s="402">
        <v>0</v>
      </c>
      <c r="Y645" s="402">
        <v>0</v>
      </c>
      <c r="Z645" s="402">
        <v>0</v>
      </c>
      <c r="AA645" s="402">
        <v>0</v>
      </c>
    </row>
    <row r="646" spans="10:27" ht="15" customHeight="1" x14ac:dyDescent="0.25">
      <c r="J646" s="400" t="s">
        <v>336</v>
      </c>
      <c r="K646" s="408" t="s">
        <v>1557</v>
      </c>
      <c r="L646" s="402" t="s">
        <v>1558</v>
      </c>
      <c r="M646" s="402">
        <v>-3139519.4182830998</v>
      </c>
      <c r="N646" s="402">
        <v>-5885835.5927823</v>
      </c>
      <c r="O646" s="402">
        <v>0</v>
      </c>
      <c r="P646" s="402">
        <v>0</v>
      </c>
      <c r="Q646" s="402">
        <v>0</v>
      </c>
      <c r="R646" s="402">
        <v>0</v>
      </c>
      <c r="S646" s="402">
        <v>0</v>
      </c>
      <c r="T646" s="402">
        <v>-707096.21</v>
      </c>
      <c r="U646" s="402">
        <v>0</v>
      </c>
      <c r="V646" s="402">
        <v>-474729.83070499997</v>
      </c>
      <c r="W646" s="402">
        <v>-445029.98738040001</v>
      </c>
      <c r="X646" s="402">
        <v>-452567.06687799998</v>
      </c>
      <c r="Y646" s="402">
        <v>-455776.5892166</v>
      </c>
      <c r="Z646" s="402">
        <v>-604319.73410310003</v>
      </c>
      <c r="AA646" s="402">
        <v>-3139519.4182830998</v>
      </c>
    </row>
    <row r="647" spans="10:27" ht="15" customHeight="1" x14ac:dyDescent="0.25">
      <c r="J647" s="400" t="s">
        <v>336</v>
      </c>
      <c r="K647" s="408" t="s">
        <v>1559</v>
      </c>
      <c r="L647" s="402" t="s">
        <v>1560</v>
      </c>
      <c r="M647" s="402">
        <v>-3545544.34</v>
      </c>
      <c r="N647" s="402">
        <v>0</v>
      </c>
      <c r="O647" s="402">
        <v>-453248.45</v>
      </c>
      <c r="P647" s="402">
        <v>-459735.46</v>
      </c>
      <c r="Q647" s="402">
        <v>-529892.54</v>
      </c>
      <c r="R647" s="402">
        <v>-477555.43</v>
      </c>
      <c r="S647" s="402">
        <v>-571256.02</v>
      </c>
      <c r="T647" s="402">
        <v>-547535.4</v>
      </c>
      <c r="U647" s="402">
        <v>-506321.04</v>
      </c>
      <c r="V647" s="402">
        <v>0</v>
      </c>
      <c r="W647" s="402">
        <v>0</v>
      </c>
      <c r="X647" s="402">
        <v>0</v>
      </c>
      <c r="Y647" s="402">
        <v>0</v>
      </c>
      <c r="Z647" s="402">
        <v>0</v>
      </c>
      <c r="AA647" s="402">
        <v>-3545544.34</v>
      </c>
    </row>
    <row r="648" spans="10:27" ht="15" customHeight="1" x14ac:dyDescent="0.25">
      <c r="J648" s="400" t="s">
        <v>336</v>
      </c>
      <c r="K648" s="408" t="s">
        <v>1561</v>
      </c>
      <c r="L648" s="402" t="s">
        <v>1562</v>
      </c>
      <c r="M648" s="402">
        <v>-478885.06</v>
      </c>
      <c r="N648" s="402">
        <v>0</v>
      </c>
      <c r="O648" s="402">
        <v>-71632.87</v>
      </c>
      <c r="P648" s="402">
        <v>-63157.55</v>
      </c>
      <c r="Q648" s="402">
        <v>-71168.820000000007</v>
      </c>
      <c r="R648" s="402">
        <v>-64609.54</v>
      </c>
      <c r="S648" s="402">
        <v>-76196.61</v>
      </c>
      <c r="T648" s="402">
        <v>-71683.179999999993</v>
      </c>
      <c r="U648" s="402">
        <v>-60436.49</v>
      </c>
      <c r="V648" s="402">
        <v>0</v>
      </c>
      <c r="W648" s="402">
        <v>0</v>
      </c>
      <c r="X648" s="402">
        <v>0</v>
      </c>
      <c r="Y648" s="402">
        <v>0</v>
      </c>
      <c r="Z648" s="402">
        <v>0</v>
      </c>
      <c r="AA648" s="402">
        <v>-478885.06</v>
      </c>
    </row>
    <row r="649" spans="10:27" ht="15" customHeight="1" x14ac:dyDescent="0.25">
      <c r="J649" s="400" t="s">
        <v>336</v>
      </c>
      <c r="K649" s="408" t="s">
        <v>1563</v>
      </c>
      <c r="L649" s="402" t="s">
        <v>1564</v>
      </c>
      <c r="M649" s="402">
        <v>29378006.666336399</v>
      </c>
      <c r="N649" s="402">
        <v>0</v>
      </c>
      <c r="O649" s="402">
        <v>0</v>
      </c>
      <c r="P649" s="402">
        <v>0</v>
      </c>
      <c r="Q649" s="402">
        <v>0</v>
      </c>
      <c r="R649" s="402">
        <v>0</v>
      </c>
      <c r="S649" s="402">
        <v>0</v>
      </c>
      <c r="T649" s="402">
        <v>0</v>
      </c>
      <c r="U649" s="402">
        <v>0</v>
      </c>
      <c r="V649" s="402">
        <v>6474150.6643620003</v>
      </c>
      <c r="W649" s="402">
        <v>6628226.128974</v>
      </c>
      <c r="X649" s="402">
        <v>6138591.4070915999</v>
      </c>
      <c r="Y649" s="402">
        <v>5212858.3765284</v>
      </c>
      <c r="Z649" s="402">
        <v>4924180.0893804003</v>
      </c>
      <c r="AA649" s="402">
        <v>29378006.666336399</v>
      </c>
    </row>
    <row r="650" spans="10:27" ht="15" customHeight="1" x14ac:dyDescent="0.25">
      <c r="J650" s="400" t="s">
        <v>336</v>
      </c>
      <c r="K650" s="408" t="s">
        <v>1565</v>
      </c>
      <c r="L650" s="402" t="s">
        <v>1566</v>
      </c>
      <c r="M650" s="402">
        <v>30939734.013250001</v>
      </c>
      <c r="N650" s="402">
        <v>0</v>
      </c>
      <c r="O650" s="402">
        <v>0</v>
      </c>
      <c r="P650" s="402">
        <v>0</v>
      </c>
      <c r="Q650" s="402">
        <v>0</v>
      </c>
      <c r="R650" s="402">
        <v>0</v>
      </c>
      <c r="S650" s="402">
        <v>0</v>
      </c>
      <c r="T650" s="402">
        <v>0</v>
      </c>
      <c r="U650" s="402">
        <v>0</v>
      </c>
      <c r="V650" s="402">
        <v>6884591.4712500004</v>
      </c>
      <c r="W650" s="402">
        <v>7051131.0037500001</v>
      </c>
      <c r="X650" s="402">
        <v>6486437.92925</v>
      </c>
      <c r="Y650" s="402">
        <v>5421495.1032499997</v>
      </c>
      <c r="Z650" s="402">
        <v>5096078.5057499995</v>
      </c>
      <c r="AA650" s="402">
        <v>30939734.013250001</v>
      </c>
    </row>
    <row r="651" spans="10:27" ht="15" customHeight="1" x14ac:dyDescent="0.25">
      <c r="J651" s="400" t="s">
        <v>336</v>
      </c>
      <c r="K651" s="408" t="s">
        <v>1567</v>
      </c>
      <c r="L651" s="402" t="s">
        <v>1568</v>
      </c>
      <c r="M651" s="402">
        <v>5810584.0241424004</v>
      </c>
      <c r="N651" s="402">
        <v>0</v>
      </c>
      <c r="O651" s="402">
        <v>0</v>
      </c>
      <c r="P651" s="402">
        <v>0</v>
      </c>
      <c r="Q651" s="402">
        <v>0</v>
      </c>
      <c r="R651" s="402">
        <v>0</v>
      </c>
      <c r="S651" s="402">
        <v>0</v>
      </c>
      <c r="T651" s="402">
        <v>0</v>
      </c>
      <c r="U651" s="402">
        <v>0</v>
      </c>
      <c r="V651" s="402">
        <v>1211186.2971987999</v>
      </c>
      <c r="W651" s="402">
        <v>1116461.3267341999</v>
      </c>
      <c r="X651" s="402">
        <v>1176428.1597803</v>
      </c>
      <c r="Y651" s="402">
        <v>1176145.3977492</v>
      </c>
      <c r="Z651" s="402">
        <v>1130362.8426798999</v>
      </c>
      <c r="AA651" s="402">
        <v>5810584.0241424004</v>
      </c>
    </row>
    <row r="652" spans="10:27" ht="15" customHeight="1" x14ac:dyDescent="0.25">
      <c r="J652" s="400" t="s">
        <v>336</v>
      </c>
      <c r="K652" s="408" t="s">
        <v>1569</v>
      </c>
      <c r="L652" s="402" t="s">
        <v>1570</v>
      </c>
      <c r="M652" s="402">
        <v>821983.25</v>
      </c>
      <c r="N652" s="402">
        <v>2672668</v>
      </c>
      <c r="O652" s="402">
        <v>0</v>
      </c>
      <c r="P652" s="402">
        <v>0</v>
      </c>
      <c r="Q652" s="402">
        <v>0</v>
      </c>
      <c r="R652" s="402">
        <v>0</v>
      </c>
      <c r="S652" s="402">
        <v>0</v>
      </c>
      <c r="T652" s="402">
        <v>0</v>
      </c>
      <c r="U652" s="402">
        <v>0</v>
      </c>
      <c r="V652" s="402">
        <v>164396.81</v>
      </c>
      <c r="W652" s="402">
        <v>164396.60999999999</v>
      </c>
      <c r="X652" s="402">
        <v>164396.60999999999</v>
      </c>
      <c r="Y652" s="402">
        <v>164396.60999999999</v>
      </c>
      <c r="Z652" s="402">
        <v>164396.60999999999</v>
      </c>
      <c r="AA652" s="402">
        <v>821983.25</v>
      </c>
    </row>
    <row r="653" spans="10:27" ht="15" customHeight="1" x14ac:dyDescent="0.25">
      <c r="J653" s="400" t="s">
        <v>336</v>
      </c>
      <c r="K653" s="408" t="s">
        <v>1571</v>
      </c>
      <c r="L653" s="402" t="s">
        <v>1572</v>
      </c>
      <c r="M653" s="402">
        <v>-412892.32595839998</v>
      </c>
      <c r="N653" s="402">
        <v>-711162.20209050004</v>
      </c>
      <c r="O653" s="402">
        <v>0</v>
      </c>
      <c r="P653" s="402">
        <v>0</v>
      </c>
      <c r="Q653" s="402">
        <v>0</v>
      </c>
      <c r="R653" s="402">
        <v>0</v>
      </c>
      <c r="S653" s="402">
        <v>0</v>
      </c>
      <c r="T653" s="402">
        <v>0</v>
      </c>
      <c r="U653" s="402">
        <v>0</v>
      </c>
      <c r="V653" s="402">
        <v>-167489.80819859999</v>
      </c>
      <c r="W653" s="402">
        <v>-124986.29505070001</v>
      </c>
      <c r="X653" s="402">
        <v>-172186.76765679999</v>
      </c>
      <c r="Y653" s="402">
        <v>-162477.37491720001</v>
      </c>
      <c r="Z653" s="402">
        <v>214247.9198649</v>
      </c>
      <c r="AA653" s="402">
        <v>-412892.32595839998</v>
      </c>
    </row>
    <row r="654" spans="10:27" ht="15" customHeight="1" x14ac:dyDescent="0.25">
      <c r="J654" s="400" t="s">
        <v>336</v>
      </c>
      <c r="K654" s="408" t="s">
        <v>1573</v>
      </c>
      <c r="L654" s="402" t="s">
        <v>1574</v>
      </c>
      <c r="M654" s="402">
        <v>33035000</v>
      </c>
      <c r="N654" s="402">
        <v>0</v>
      </c>
      <c r="O654" s="402">
        <v>0</v>
      </c>
      <c r="P654" s="402">
        <v>0</v>
      </c>
      <c r="Q654" s="402">
        <v>0</v>
      </c>
      <c r="R654" s="402">
        <v>0</v>
      </c>
      <c r="S654" s="402">
        <v>0</v>
      </c>
      <c r="T654" s="402">
        <v>0</v>
      </c>
      <c r="U654" s="402">
        <v>0</v>
      </c>
      <c r="V654" s="402">
        <v>6607000</v>
      </c>
      <c r="W654" s="402">
        <v>6607000</v>
      </c>
      <c r="X654" s="402">
        <v>6607000</v>
      </c>
      <c r="Y654" s="402">
        <v>6607000</v>
      </c>
      <c r="Z654" s="402">
        <v>6607000</v>
      </c>
      <c r="AA654" s="402">
        <v>33035000</v>
      </c>
    </row>
    <row r="655" spans="10:27" ht="15" customHeight="1" x14ac:dyDescent="0.25">
      <c r="J655" s="400" t="s">
        <v>336</v>
      </c>
      <c r="K655" s="408" t="s">
        <v>1575</v>
      </c>
      <c r="L655" s="402" t="s">
        <v>1576</v>
      </c>
      <c r="M655" s="402">
        <v>45000</v>
      </c>
      <c r="N655" s="402">
        <v>0</v>
      </c>
      <c r="O655" s="402">
        <v>0</v>
      </c>
      <c r="P655" s="402">
        <v>0</v>
      </c>
      <c r="Q655" s="402">
        <v>0</v>
      </c>
      <c r="R655" s="402">
        <v>0</v>
      </c>
      <c r="S655" s="402">
        <v>0</v>
      </c>
      <c r="T655" s="402">
        <v>0</v>
      </c>
      <c r="U655" s="402">
        <v>0</v>
      </c>
      <c r="V655" s="402">
        <v>9000</v>
      </c>
      <c r="W655" s="402">
        <v>9000</v>
      </c>
      <c r="X655" s="402">
        <v>9000</v>
      </c>
      <c r="Y655" s="402">
        <v>9000</v>
      </c>
      <c r="Z655" s="402">
        <v>9000</v>
      </c>
      <c r="AA655" s="402">
        <v>45000</v>
      </c>
    </row>
    <row r="656" spans="10:27" ht="15" customHeight="1" x14ac:dyDescent="0.25">
      <c r="J656" s="400" t="s">
        <v>336</v>
      </c>
      <c r="K656" s="408" t="s">
        <v>1577</v>
      </c>
      <c r="L656" s="402" t="s">
        <v>1578</v>
      </c>
      <c r="M656" s="402">
        <v>904709.6400744</v>
      </c>
      <c r="N656" s="402">
        <v>0</v>
      </c>
      <c r="O656" s="402">
        <v>0</v>
      </c>
      <c r="P656" s="402">
        <v>0</v>
      </c>
      <c r="Q656" s="402">
        <v>0</v>
      </c>
      <c r="R656" s="402">
        <v>0</v>
      </c>
      <c r="S656" s="402">
        <v>0</v>
      </c>
      <c r="T656" s="402">
        <v>0</v>
      </c>
      <c r="U656" s="402">
        <v>0</v>
      </c>
      <c r="V656" s="402">
        <v>200711.27738879999</v>
      </c>
      <c r="W656" s="402">
        <v>205366.06024560001</v>
      </c>
      <c r="X656" s="402">
        <v>189351.1869264</v>
      </c>
      <c r="Y656" s="402">
        <v>159107.569992</v>
      </c>
      <c r="Z656" s="402">
        <v>150173.5455216</v>
      </c>
      <c r="AA656" s="402">
        <v>904709.6400744</v>
      </c>
    </row>
    <row r="657" spans="10:27" ht="15" customHeight="1" x14ac:dyDescent="0.25">
      <c r="J657" s="400" t="s">
        <v>336</v>
      </c>
      <c r="K657" s="408" t="s">
        <v>1579</v>
      </c>
      <c r="L657" s="402" t="s">
        <v>1580</v>
      </c>
      <c r="M657" s="402">
        <v>100000</v>
      </c>
      <c r="N657" s="402">
        <v>0</v>
      </c>
      <c r="O657" s="402">
        <v>0</v>
      </c>
      <c r="P657" s="402">
        <v>0</v>
      </c>
      <c r="Q657" s="402">
        <v>0</v>
      </c>
      <c r="R657" s="402">
        <v>0</v>
      </c>
      <c r="S657" s="402">
        <v>0</v>
      </c>
      <c r="T657" s="402">
        <v>0</v>
      </c>
      <c r="U657" s="402">
        <v>0</v>
      </c>
      <c r="V657" s="402">
        <v>20000</v>
      </c>
      <c r="W657" s="402">
        <v>20000</v>
      </c>
      <c r="X657" s="402">
        <v>20000</v>
      </c>
      <c r="Y657" s="402">
        <v>20000</v>
      </c>
      <c r="Z657" s="402">
        <v>20000</v>
      </c>
      <c r="AA657" s="402">
        <v>100000</v>
      </c>
    </row>
    <row r="658" spans="10:27" ht="15" customHeight="1" x14ac:dyDescent="0.25">
      <c r="J658" s="400" t="s">
        <v>336</v>
      </c>
      <c r="K658" s="408" t="s">
        <v>1581</v>
      </c>
      <c r="L658" s="402" t="s">
        <v>1582</v>
      </c>
      <c r="M658" s="402">
        <v>16000</v>
      </c>
      <c r="N658" s="402">
        <v>0</v>
      </c>
      <c r="O658" s="402">
        <v>0</v>
      </c>
      <c r="P658" s="402">
        <v>0</v>
      </c>
      <c r="Q658" s="402">
        <v>0</v>
      </c>
      <c r="R658" s="402">
        <v>0</v>
      </c>
      <c r="S658" s="402">
        <v>0</v>
      </c>
      <c r="T658" s="402">
        <v>0</v>
      </c>
      <c r="U658" s="402">
        <v>0</v>
      </c>
      <c r="V658" s="402">
        <v>15000</v>
      </c>
      <c r="W658" s="402">
        <v>0</v>
      </c>
      <c r="X658" s="402">
        <v>0</v>
      </c>
      <c r="Y658" s="402">
        <v>1000</v>
      </c>
      <c r="Z658" s="402">
        <v>0</v>
      </c>
      <c r="AA658" s="402">
        <v>16000</v>
      </c>
    </row>
    <row r="659" spans="10:27" ht="15" customHeight="1" x14ac:dyDescent="0.25">
      <c r="J659" s="400" t="s">
        <v>336</v>
      </c>
      <c r="K659" s="408" t="s">
        <v>1583</v>
      </c>
      <c r="L659" s="402" t="s">
        <v>1584</v>
      </c>
      <c r="M659" s="402">
        <v>12000</v>
      </c>
      <c r="N659" s="402">
        <v>0</v>
      </c>
      <c r="O659" s="402">
        <v>0</v>
      </c>
      <c r="P659" s="402">
        <v>0</v>
      </c>
      <c r="Q659" s="402">
        <v>0</v>
      </c>
      <c r="R659" s="402">
        <v>0</v>
      </c>
      <c r="S659" s="402">
        <v>0</v>
      </c>
      <c r="T659" s="402">
        <v>0</v>
      </c>
      <c r="U659" s="402">
        <v>0</v>
      </c>
      <c r="V659" s="402">
        <v>0</v>
      </c>
      <c r="W659" s="402">
        <v>12000</v>
      </c>
      <c r="X659" s="402">
        <v>0</v>
      </c>
      <c r="Y659" s="402">
        <v>0</v>
      </c>
      <c r="Z659" s="402">
        <v>0</v>
      </c>
      <c r="AA659" s="402">
        <v>12000</v>
      </c>
    </row>
    <row r="660" spans="10:27" ht="15" customHeight="1" x14ac:dyDescent="0.2">
      <c r="J660" s="392" t="s">
        <v>336</v>
      </c>
      <c r="K660" s="395" t="s">
        <v>1585</v>
      </c>
      <c r="L660" s="392" t="s">
        <v>1586</v>
      </c>
      <c r="M660" s="393">
        <v>86307456.656133607</v>
      </c>
      <c r="N660" s="393">
        <v>71686799.515616506</v>
      </c>
      <c r="O660" s="393">
        <v>6839463.1699999999</v>
      </c>
      <c r="P660" s="393">
        <v>6967804.6399999997</v>
      </c>
      <c r="Q660" s="393">
        <v>7206097.7199999997</v>
      </c>
      <c r="R660" s="393">
        <v>7388647.4100000001</v>
      </c>
      <c r="S660" s="393">
        <v>8438739.5099999998</v>
      </c>
      <c r="T660" s="393">
        <v>7583498.5300000003</v>
      </c>
      <c r="U660" s="393">
        <v>7717994.9199999999</v>
      </c>
      <c r="V660" s="393">
        <v>7757688.2719134996</v>
      </c>
      <c r="W660" s="393">
        <v>7813248.4749068003</v>
      </c>
      <c r="X660" s="393">
        <v>7426195.0257000001</v>
      </c>
      <c r="Y660" s="393">
        <v>7632035.4736133004</v>
      </c>
      <c r="Z660" s="393">
        <v>3536043.51</v>
      </c>
      <c r="AA660" s="393">
        <v>86307456.656133607</v>
      </c>
    </row>
    <row r="661" spans="10:27" ht="15" customHeight="1" x14ac:dyDescent="0.2">
      <c r="J661" s="392" t="s">
        <v>336</v>
      </c>
      <c r="K661" s="396" t="s">
        <v>1587</v>
      </c>
      <c r="L661" s="392" t="s">
        <v>1588</v>
      </c>
      <c r="M661" s="393">
        <v>19115544.780000001</v>
      </c>
      <c r="N661" s="393">
        <v>18116563.52</v>
      </c>
      <c r="O661" s="393">
        <v>996048.69</v>
      </c>
      <c r="P661" s="393">
        <v>1061893.3500000001</v>
      </c>
      <c r="Q661" s="393">
        <v>1138225.8</v>
      </c>
      <c r="R661" s="393">
        <v>1262349.8799999999</v>
      </c>
      <c r="S661" s="393">
        <v>1378224.42</v>
      </c>
      <c r="T661" s="393">
        <v>1511920.13</v>
      </c>
      <c r="U661" s="393">
        <v>1673165.29</v>
      </c>
      <c r="V661" s="393">
        <v>1834527.09</v>
      </c>
      <c r="W661" s="393">
        <v>1975204.96</v>
      </c>
      <c r="X661" s="393">
        <v>2135132.4500000002</v>
      </c>
      <c r="Y661" s="393">
        <v>2288163.06</v>
      </c>
      <c r="Z661" s="393">
        <v>1860689.66</v>
      </c>
      <c r="AA661" s="393">
        <v>19115544.780000001</v>
      </c>
    </row>
    <row r="662" spans="10:27" ht="15" customHeight="1" x14ac:dyDescent="0.25">
      <c r="J662" s="400" t="s">
        <v>336</v>
      </c>
      <c r="K662" s="409" t="s">
        <v>1589</v>
      </c>
      <c r="L662" s="402" t="s">
        <v>1590</v>
      </c>
      <c r="M662" s="402">
        <v>19115544.780000001</v>
      </c>
      <c r="N662" s="402">
        <v>18116563.52</v>
      </c>
      <c r="O662" s="402">
        <v>996048.69</v>
      </c>
      <c r="P662" s="402">
        <v>1061893.3500000001</v>
      </c>
      <c r="Q662" s="402">
        <v>1138225.8</v>
      </c>
      <c r="R662" s="402">
        <v>1262349.8799999999</v>
      </c>
      <c r="S662" s="402">
        <v>1378224.42</v>
      </c>
      <c r="T662" s="402">
        <v>1511920.13</v>
      </c>
      <c r="U662" s="402">
        <v>1673165.29</v>
      </c>
      <c r="V662" s="402">
        <v>1834527.09</v>
      </c>
      <c r="W662" s="402">
        <v>1975204.96</v>
      </c>
      <c r="X662" s="402">
        <v>2135132.4500000002</v>
      </c>
      <c r="Y662" s="402">
        <v>2288163.06</v>
      </c>
      <c r="Z662" s="402">
        <v>1860689.66</v>
      </c>
      <c r="AA662" s="402">
        <v>19115544.780000001</v>
      </c>
    </row>
    <row r="663" spans="10:27" ht="15" customHeight="1" x14ac:dyDescent="0.2">
      <c r="J663" s="392" t="s">
        <v>336</v>
      </c>
      <c r="K663" s="396" t="s">
        <v>1591</v>
      </c>
      <c r="L663" s="392" t="s">
        <v>1592</v>
      </c>
      <c r="M663" s="393">
        <v>67191911.876133606</v>
      </c>
      <c r="N663" s="393">
        <v>53570235.995616503</v>
      </c>
      <c r="O663" s="393">
        <v>5843414.4800000004</v>
      </c>
      <c r="P663" s="393">
        <v>5905911.29</v>
      </c>
      <c r="Q663" s="393">
        <v>6067871.9199999999</v>
      </c>
      <c r="R663" s="393">
        <v>6126297.5300000003</v>
      </c>
      <c r="S663" s="393">
        <v>7060515.0899999999</v>
      </c>
      <c r="T663" s="393">
        <v>6071578.4000000004</v>
      </c>
      <c r="U663" s="393">
        <v>6044829.6299999999</v>
      </c>
      <c r="V663" s="393">
        <v>5923161.1819134997</v>
      </c>
      <c r="W663" s="393">
        <v>5838043.5149068004</v>
      </c>
      <c r="X663" s="393">
        <v>5291062.5756999999</v>
      </c>
      <c r="Y663" s="393">
        <v>5343872.4136132998</v>
      </c>
      <c r="Z663" s="393">
        <v>1675353.85</v>
      </c>
      <c r="AA663" s="393">
        <v>67191911.876133606</v>
      </c>
    </row>
    <row r="664" spans="10:27" ht="15" customHeight="1" x14ac:dyDescent="0.2">
      <c r="J664" s="392" t="s">
        <v>336</v>
      </c>
      <c r="K664" s="397" t="s">
        <v>1593</v>
      </c>
      <c r="L664" s="392" t="s">
        <v>1594</v>
      </c>
      <c r="M664" s="393">
        <v>31888024.182027001</v>
      </c>
      <c r="N664" s="393">
        <v>36773219.780513197</v>
      </c>
      <c r="O664" s="393">
        <v>3113337.65</v>
      </c>
      <c r="P664" s="393">
        <v>3173700.14</v>
      </c>
      <c r="Q664" s="393">
        <v>3075759.79</v>
      </c>
      <c r="R664" s="393">
        <v>3039750.91</v>
      </c>
      <c r="S664" s="393">
        <v>3827783.36</v>
      </c>
      <c r="T664" s="393">
        <v>2830350.68</v>
      </c>
      <c r="U664" s="393">
        <v>2638478.06</v>
      </c>
      <c r="V664" s="393">
        <v>2517716.5360134998</v>
      </c>
      <c r="W664" s="393">
        <v>2413349.5360134998</v>
      </c>
      <c r="X664" s="393">
        <v>1813135.86</v>
      </c>
      <c r="Y664" s="393">
        <v>1853226.86</v>
      </c>
      <c r="Z664" s="393">
        <v>1591434.8</v>
      </c>
      <c r="AA664" s="393">
        <v>31888024.182027001</v>
      </c>
    </row>
    <row r="665" spans="10:27" ht="15" customHeight="1" x14ac:dyDescent="0.25">
      <c r="J665" s="400" t="s">
        <v>336</v>
      </c>
      <c r="K665" s="408" t="s">
        <v>1595</v>
      </c>
      <c r="L665" s="402" t="s">
        <v>1596</v>
      </c>
      <c r="M665" s="402">
        <v>12086483</v>
      </c>
      <c r="N665" s="402">
        <v>16812293</v>
      </c>
      <c r="O665" s="402">
        <v>1906385</v>
      </c>
      <c r="P665" s="402">
        <v>1895060</v>
      </c>
      <c r="Q665" s="402">
        <v>1864074</v>
      </c>
      <c r="R665" s="402">
        <v>1789487</v>
      </c>
      <c r="S665" s="402">
        <v>1689853</v>
      </c>
      <c r="T665" s="402">
        <v>1557631</v>
      </c>
      <c r="U665" s="402">
        <v>1383993</v>
      </c>
      <c r="V665" s="402">
        <v>0</v>
      </c>
      <c r="W665" s="402">
        <v>0</v>
      </c>
      <c r="X665" s="402">
        <v>0</v>
      </c>
      <c r="Y665" s="402">
        <v>0</v>
      </c>
      <c r="Z665" s="402">
        <v>0</v>
      </c>
      <c r="AA665" s="402">
        <v>12086483</v>
      </c>
    </row>
    <row r="666" spans="10:27" ht="15" customHeight="1" x14ac:dyDescent="0.25">
      <c r="J666" s="400" t="s">
        <v>336</v>
      </c>
      <c r="K666" s="408" t="s">
        <v>1597</v>
      </c>
      <c r="L666" s="402" t="s">
        <v>1598</v>
      </c>
      <c r="M666" s="402">
        <v>102300</v>
      </c>
      <c r="N666" s="402">
        <v>0</v>
      </c>
      <c r="O666" s="402">
        <v>0</v>
      </c>
      <c r="P666" s="402">
        <v>5419</v>
      </c>
      <c r="Q666" s="402">
        <v>10729</v>
      </c>
      <c r="R666" s="402">
        <v>15636</v>
      </c>
      <c r="S666" s="402">
        <v>21001</v>
      </c>
      <c r="T666" s="402">
        <v>23757</v>
      </c>
      <c r="U666" s="402">
        <v>25758</v>
      </c>
      <c r="V666" s="402">
        <v>0</v>
      </c>
      <c r="W666" s="402">
        <v>0</v>
      </c>
      <c r="X666" s="402">
        <v>0</v>
      </c>
      <c r="Y666" s="402">
        <v>0</v>
      </c>
      <c r="Z666" s="402">
        <v>0</v>
      </c>
      <c r="AA666" s="402">
        <v>102300</v>
      </c>
    </row>
    <row r="667" spans="10:27" ht="15" customHeight="1" x14ac:dyDescent="0.25">
      <c r="J667" s="400" t="s">
        <v>336</v>
      </c>
      <c r="K667" s="408" t="s">
        <v>1599</v>
      </c>
      <c r="L667" s="402" t="s">
        <v>1600</v>
      </c>
      <c r="M667" s="402">
        <v>2360748.79</v>
      </c>
      <c r="N667" s="402">
        <v>0</v>
      </c>
      <c r="O667" s="402">
        <v>328447.42</v>
      </c>
      <c r="P667" s="402">
        <v>314208.45</v>
      </c>
      <c r="Q667" s="402">
        <v>326114.44</v>
      </c>
      <c r="R667" s="402">
        <v>313085.64</v>
      </c>
      <c r="S667" s="402">
        <v>350797.43</v>
      </c>
      <c r="T667" s="402">
        <v>380474.32</v>
      </c>
      <c r="U667" s="402">
        <v>347621.09</v>
      </c>
      <c r="V667" s="402">
        <v>0</v>
      </c>
      <c r="W667" s="402">
        <v>0</v>
      </c>
      <c r="X667" s="402">
        <v>0</v>
      </c>
      <c r="Y667" s="402">
        <v>0</v>
      </c>
      <c r="Z667" s="402">
        <v>0</v>
      </c>
      <c r="AA667" s="402">
        <v>2360748.79</v>
      </c>
    </row>
    <row r="668" spans="10:27" ht="15" customHeight="1" x14ac:dyDescent="0.25">
      <c r="J668" s="400" t="s">
        <v>336</v>
      </c>
      <c r="K668" s="408" t="s">
        <v>1601</v>
      </c>
      <c r="L668" s="402" t="s">
        <v>1602</v>
      </c>
      <c r="M668" s="402">
        <v>-9021827.5600000005</v>
      </c>
      <c r="N668" s="402">
        <v>0</v>
      </c>
      <c r="O668" s="402">
        <v>-996048.69</v>
      </c>
      <c r="P668" s="402">
        <v>-1061893.3500000001</v>
      </c>
      <c r="Q668" s="402">
        <v>-1138225.8</v>
      </c>
      <c r="R668" s="402">
        <v>-1262349.8799999999</v>
      </c>
      <c r="S668" s="402">
        <v>-1378224.42</v>
      </c>
      <c r="T668" s="402">
        <v>-1511920.13</v>
      </c>
      <c r="U668" s="402">
        <v>-1673165.29</v>
      </c>
      <c r="V668" s="402">
        <v>0</v>
      </c>
      <c r="W668" s="402">
        <v>0</v>
      </c>
      <c r="X668" s="402">
        <v>0</v>
      </c>
      <c r="Y668" s="402">
        <v>0</v>
      </c>
      <c r="Z668" s="402">
        <v>0</v>
      </c>
      <c r="AA668" s="402">
        <v>-9021827.5600000005</v>
      </c>
    </row>
    <row r="669" spans="10:27" ht="15" customHeight="1" x14ac:dyDescent="0.25">
      <c r="J669" s="400" t="s">
        <v>336</v>
      </c>
      <c r="K669" s="408" t="s">
        <v>1603</v>
      </c>
      <c r="L669" s="402" t="s">
        <v>1604</v>
      </c>
      <c r="M669" s="402">
        <v>-38653.279999999999</v>
      </c>
      <c r="N669" s="402">
        <v>7212665.4405132001</v>
      </c>
      <c r="O669" s="402">
        <v>-5566.04</v>
      </c>
      <c r="P669" s="402">
        <v>-5569.54</v>
      </c>
      <c r="Q669" s="402">
        <v>-5568.54</v>
      </c>
      <c r="R669" s="402">
        <v>-5572.04</v>
      </c>
      <c r="S669" s="402">
        <v>-5278.54</v>
      </c>
      <c r="T669" s="402">
        <v>-5526.04</v>
      </c>
      <c r="U669" s="402">
        <v>-5572.54</v>
      </c>
      <c r="V669" s="402">
        <v>0</v>
      </c>
      <c r="W669" s="402">
        <v>0</v>
      </c>
      <c r="X669" s="402">
        <v>0</v>
      </c>
      <c r="Y669" s="402">
        <v>0</v>
      </c>
      <c r="Z669" s="402">
        <v>0</v>
      </c>
      <c r="AA669" s="402">
        <v>-38653.279999999999</v>
      </c>
    </row>
    <row r="670" spans="10:27" ht="15" customHeight="1" x14ac:dyDescent="0.25">
      <c r="J670" s="400" t="s">
        <v>336</v>
      </c>
      <c r="K670" s="408" t="s">
        <v>1605</v>
      </c>
      <c r="L670" s="402" t="s">
        <v>1606</v>
      </c>
      <c r="M670" s="402">
        <v>33921.760000000002</v>
      </c>
      <c r="N670" s="402">
        <v>0</v>
      </c>
      <c r="O670" s="402">
        <v>0</v>
      </c>
      <c r="P670" s="402">
        <v>11145.78</v>
      </c>
      <c r="Q670" s="402">
        <v>17082.29</v>
      </c>
      <c r="R670" s="402">
        <v>0</v>
      </c>
      <c r="S670" s="402">
        <v>5693.69</v>
      </c>
      <c r="T670" s="402">
        <v>0</v>
      </c>
      <c r="U670" s="402">
        <v>0</v>
      </c>
      <c r="V670" s="402">
        <v>0</v>
      </c>
      <c r="W670" s="402">
        <v>0</v>
      </c>
      <c r="X670" s="402">
        <v>0</v>
      </c>
      <c r="Y670" s="402">
        <v>0</v>
      </c>
      <c r="Z670" s="402">
        <v>0</v>
      </c>
      <c r="AA670" s="402">
        <v>33921.760000000002</v>
      </c>
    </row>
    <row r="671" spans="10:27" ht="15" customHeight="1" x14ac:dyDescent="0.25">
      <c r="J671" s="400" t="s">
        <v>336</v>
      </c>
      <c r="K671" s="408" t="s">
        <v>1607</v>
      </c>
      <c r="L671" s="402" t="s">
        <v>1608</v>
      </c>
      <c r="M671" s="402">
        <v>0.02</v>
      </c>
      <c r="N671" s="402">
        <v>0</v>
      </c>
      <c r="O671" s="402">
        <v>0</v>
      </c>
      <c r="P671" s="402">
        <v>12434.88</v>
      </c>
      <c r="Q671" s="402">
        <v>-12434.88</v>
      </c>
      <c r="R671" s="402">
        <v>8963.67</v>
      </c>
      <c r="S671" s="402">
        <v>-1254.1300000000001</v>
      </c>
      <c r="T671" s="402">
        <v>0</v>
      </c>
      <c r="U671" s="402">
        <v>-7709.52</v>
      </c>
      <c r="V671" s="402">
        <v>0</v>
      </c>
      <c r="W671" s="402">
        <v>0</v>
      </c>
      <c r="X671" s="402">
        <v>0</v>
      </c>
      <c r="Y671" s="402">
        <v>0</v>
      </c>
      <c r="Z671" s="402">
        <v>0</v>
      </c>
      <c r="AA671" s="402">
        <v>0.02</v>
      </c>
    </row>
    <row r="672" spans="10:27" ht="15" customHeight="1" x14ac:dyDescent="0.25">
      <c r="J672" s="400" t="s">
        <v>336</v>
      </c>
      <c r="K672" s="408" t="s">
        <v>1609</v>
      </c>
      <c r="L672" s="402" t="s">
        <v>1610</v>
      </c>
      <c r="M672" s="402">
        <v>434853.42</v>
      </c>
      <c r="N672" s="402">
        <v>0</v>
      </c>
      <c r="O672" s="402">
        <v>62790.79</v>
      </c>
      <c r="P672" s="402">
        <v>62741.22</v>
      </c>
      <c r="Q672" s="402">
        <v>59948.31</v>
      </c>
      <c r="R672" s="402">
        <v>62681.55</v>
      </c>
      <c r="S672" s="402">
        <v>62257.86</v>
      </c>
      <c r="T672" s="402">
        <v>61956.52</v>
      </c>
      <c r="U672" s="402">
        <v>62477.17</v>
      </c>
      <c r="V672" s="402">
        <v>0</v>
      </c>
      <c r="W672" s="402">
        <v>0</v>
      </c>
      <c r="X672" s="402">
        <v>0</v>
      </c>
      <c r="Y672" s="402">
        <v>0</v>
      </c>
      <c r="Z672" s="402">
        <v>0</v>
      </c>
      <c r="AA672" s="402">
        <v>434853.42</v>
      </c>
    </row>
    <row r="673" spans="10:27" ht="15" customHeight="1" x14ac:dyDescent="0.25">
      <c r="J673" s="400" t="s">
        <v>336</v>
      </c>
      <c r="K673" s="408" t="s">
        <v>1611</v>
      </c>
      <c r="L673" s="402" t="s">
        <v>1612</v>
      </c>
      <c r="M673" s="402">
        <v>3036193.7</v>
      </c>
      <c r="N673" s="402">
        <v>0</v>
      </c>
      <c r="O673" s="402">
        <v>427353.46</v>
      </c>
      <c r="P673" s="402">
        <v>433707.85</v>
      </c>
      <c r="Q673" s="402">
        <v>424588.84</v>
      </c>
      <c r="R673" s="402">
        <v>422433.46</v>
      </c>
      <c r="S673" s="402">
        <v>475877.33</v>
      </c>
      <c r="T673" s="402">
        <v>425705.93</v>
      </c>
      <c r="U673" s="402">
        <v>426526.83</v>
      </c>
      <c r="V673" s="402">
        <v>0</v>
      </c>
      <c r="W673" s="402">
        <v>0</v>
      </c>
      <c r="X673" s="402">
        <v>0</v>
      </c>
      <c r="Y673" s="402">
        <v>0</v>
      </c>
      <c r="Z673" s="402">
        <v>0</v>
      </c>
      <c r="AA673" s="402">
        <v>3036193.7</v>
      </c>
    </row>
    <row r="674" spans="10:27" ht="15" customHeight="1" x14ac:dyDescent="0.25">
      <c r="J674" s="400" t="s">
        <v>336</v>
      </c>
      <c r="K674" s="408" t="s">
        <v>1613</v>
      </c>
      <c r="L674" s="402" t="s">
        <v>1614</v>
      </c>
      <c r="M674" s="402">
        <v>11659296.77</v>
      </c>
      <c r="N674" s="402">
        <v>0</v>
      </c>
      <c r="O674" s="402">
        <v>1183996.07</v>
      </c>
      <c r="P674" s="402">
        <v>1480871.43</v>
      </c>
      <c r="Q674" s="402">
        <v>2192749.73</v>
      </c>
      <c r="R674" s="402">
        <v>1491647.58</v>
      </c>
      <c r="S674" s="402">
        <v>1683269.34</v>
      </c>
      <c r="T674" s="402">
        <v>2151025.06</v>
      </c>
      <c r="U674" s="402">
        <v>1475737.56</v>
      </c>
      <c r="V674" s="402">
        <v>0</v>
      </c>
      <c r="W674" s="402">
        <v>0</v>
      </c>
      <c r="X674" s="402">
        <v>0</v>
      </c>
      <c r="Y674" s="402">
        <v>0</v>
      </c>
      <c r="Z674" s="402">
        <v>0</v>
      </c>
      <c r="AA674" s="402">
        <v>11659296.77</v>
      </c>
    </row>
    <row r="675" spans="10:27" ht="15" customHeight="1" x14ac:dyDescent="0.25">
      <c r="J675" s="400" t="s">
        <v>336</v>
      </c>
      <c r="K675" s="408" t="s">
        <v>1615</v>
      </c>
      <c r="L675" s="402" t="s">
        <v>1616</v>
      </c>
      <c r="M675" s="402">
        <v>-2629773.3199999998</v>
      </c>
      <c r="N675" s="402">
        <v>0</v>
      </c>
      <c r="O675" s="402">
        <v>-187947.38</v>
      </c>
      <c r="P675" s="402">
        <v>-418978.08</v>
      </c>
      <c r="Q675" s="402">
        <v>-1054039.93</v>
      </c>
      <c r="R675" s="402">
        <v>-228886.41</v>
      </c>
      <c r="S675" s="402">
        <v>-302501.33</v>
      </c>
      <c r="T675" s="402">
        <v>-638095.74</v>
      </c>
      <c r="U675" s="402">
        <v>200675.55</v>
      </c>
      <c r="V675" s="402">
        <v>0</v>
      </c>
      <c r="W675" s="402">
        <v>0</v>
      </c>
      <c r="X675" s="402">
        <v>0</v>
      </c>
      <c r="Y675" s="402">
        <v>0</v>
      </c>
      <c r="Z675" s="402">
        <v>0</v>
      </c>
      <c r="AA675" s="402">
        <v>-2629773.3199999998</v>
      </c>
    </row>
    <row r="676" spans="10:27" ht="15" customHeight="1" x14ac:dyDescent="0.25">
      <c r="J676" s="400" t="s">
        <v>336</v>
      </c>
      <c r="K676" s="408" t="s">
        <v>1617</v>
      </c>
      <c r="L676" s="402" t="s">
        <v>1618</v>
      </c>
      <c r="M676" s="402">
        <v>118670.28</v>
      </c>
      <c r="N676" s="402">
        <v>0</v>
      </c>
      <c r="O676" s="402">
        <v>32036.19</v>
      </c>
      <c r="P676" s="402">
        <v>0</v>
      </c>
      <c r="Q676" s="402">
        <v>13883.87</v>
      </c>
      <c r="R676" s="402">
        <v>20518.150000000001</v>
      </c>
      <c r="S676" s="402">
        <v>0</v>
      </c>
      <c r="T676" s="402">
        <v>3703.51</v>
      </c>
      <c r="U676" s="402">
        <v>48528.56</v>
      </c>
      <c r="V676" s="402">
        <v>0</v>
      </c>
      <c r="W676" s="402">
        <v>0</v>
      </c>
      <c r="X676" s="402">
        <v>0</v>
      </c>
      <c r="Y676" s="402">
        <v>0</v>
      </c>
      <c r="Z676" s="402">
        <v>0</v>
      </c>
      <c r="AA676" s="402">
        <v>118670.28</v>
      </c>
    </row>
    <row r="677" spans="10:27" ht="15" customHeight="1" x14ac:dyDescent="0.25">
      <c r="J677" s="400" t="s">
        <v>336</v>
      </c>
      <c r="K677" s="408" t="s">
        <v>1619</v>
      </c>
      <c r="L677" s="402" t="s">
        <v>1620</v>
      </c>
      <c r="M677" s="402">
        <v>10328.64</v>
      </c>
      <c r="N677" s="402">
        <v>0</v>
      </c>
      <c r="O677" s="402">
        <v>2910.65</v>
      </c>
      <c r="P677" s="402">
        <v>-9358</v>
      </c>
      <c r="Q677" s="402">
        <v>23351.82</v>
      </c>
      <c r="R677" s="402">
        <v>-23384.02</v>
      </c>
      <c r="S677" s="402">
        <v>-2210.77</v>
      </c>
      <c r="T677" s="402">
        <v>40359.919999999998</v>
      </c>
      <c r="U677" s="402">
        <v>-21340.959999999999</v>
      </c>
      <c r="V677" s="402">
        <v>0</v>
      </c>
      <c r="W677" s="402">
        <v>0</v>
      </c>
      <c r="X677" s="402">
        <v>0</v>
      </c>
      <c r="Y677" s="402">
        <v>0</v>
      </c>
      <c r="Z677" s="402">
        <v>0</v>
      </c>
      <c r="AA677" s="402">
        <v>10328.64</v>
      </c>
    </row>
    <row r="678" spans="10:27" ht="15" customHeight="1" x14ac:dyDescent="0.25">
      <c r="J678" s="400" t="s">
        <v>336</v>
      </c>
      <c r="K678" s="408" t="s">
        <v>1621</v>
      </c>
      <c r="L678" s="402" t="s">
        <v>1622</v>
      </c>
      <c r="M678" s="402">
        <v>160.69999999999999</v>
      </c>
      <c r="N678" s="402">
        <v>0</v>
      </c>
      <c r="O678" s="402">
        <v>0</v>
      </c>
      <c r="P678" s="402">
        <v>25.27</v>
      </c>
      <c r="Q678" s="402">
        <v>0</v>
      </c>
      <c r="R678" s="402">
        <v>-2.33</v>
      </c>
      <c r="S678" s="402">
        <v>42</v>
      </c>
      <c r="T678" s="402">
        <v>0</v>
      </c>
      <c r="U678" s="402">
        <v>95.76</v>
      </c>
      <c r="V678" s="402">
        <v>0</v>
      </c>
      <c r="W678" s="402">
        <v>0</v>
      </c>
      <c r="X678" s="402">
        <v>0</v>
      </c>
      <c r="Y678" s="402">
        <v>0</v>
      </c>
      <c r="Z678" s="402">
        <v>0</v>
      </c>
      <c r="AA678" s="402">
        <v>160.69999999999999</v>
      </c>
    </row>
    <row r="679" spans="10:27" ht="15" customHeight="1" x14ac:dyDescent="0.25">
      <c r="J679" s="400" t="s">
        <v>336</v>
      </c>
      <c r="K679" s="408" t="s">
        <v>1623</v>
      </c>
      <c r="L679" s="402" t="s">
        <v>1624</v>
      </c>
      <c r="M679" s="402">
        <v>16025.18</v>
      </c>
      <c r="N679" s="402">
        <v>0</v>
      </c>
      <c r="O679" s="402">
        <v>2682</v>
      </c>
      <c r="P679" s="402">
        <v>1565.37</v>
      </c>
      <c r="Q679" s="402">
        <v>3577.84</v>
      </c>
      <c r="R679" s="402">
        <v>1799.72</v>
      </c>
      <c r="S679" s="402">
        <v>2114.29</v>
      </c>
      <c r="T679" s="402">
        <v>2149.67</v>
      </c>
      <c r="U679" s="402">
        <v>2136.29</v>
      </c>
      <c r="V679" s="402">
        <v>0</v>
      </c>
      <c r="W679" s="402">
        <v>0</v>
      </c>
      <c r="X679" s="402">
        <v>0</v>
      </c>
      <c r="Y679" s="402">
        <v>0</v>
      </c>
      <c r="Z679" s="402">
        <v>0</v>
      </c>
      <c r="AA679" s="402">
        <v>16025.18</v>
      </c>
    </row>
    <row r="680" spans="10:27" ht="15" customHeight="1" x14ac:dyDescent="0.25">
      <c r="J680" s="400" t="s">
        <v>336</v>
      </c>
      <c r="K680" s="408" t="s">
        <v>1625</v>
      </c>
      <c r="L680" s="402" t="s">
        <v>1626</v>
      </c>
      <c r="M680" s="402">
        <v>-16363.93</v>
      </c>
      <c r="N680" s="402">
        <v>0</v>
      </c>
      <c r="O680" s="402">
        <v>0</v>
      </c>
      <c r="P680" s="402">
        <v>-1045.72</v>
      </c>
      <c r="Q680" s="402">
        <v>0</v>
      </c>
      <c r="R680" s="402">
        <v>0</v>
      </c>
      <c r="S680" s="402">
        <v>-15318.21</v>
      </c>
      <c r="T680" s="402">
        <v>0</v>
      </c>
      <c r="U680" s="402">
        <v>0</v>
      </c>
      <c r="V680" s="402">
        <v>0</v>
      </c>
      <c r="W680" s="402">
        <v>0</v>
      </c>
      <c r="X680" s="402">
        <v>0</v>
      </c>
      <c r="Y680" s="402">
        <v>0</v>
      </c>
      <c r="Z680" s="402">
        <v>0</v>
      </c>
      <c r="AA680" s="402">
        <v>-16363.93</v>
      </c>
    </row>
    <row r="681" spans="10:27" ht="15" customHeight="1" x14ac:dyDescent="0.25">
      <c r="J681" s="400" t="s">
        <v>336</v>
      </c>
      <c r="K681" s="408" t="s">
        <v>1627</v>
      </c>
      <c r="L681" s="402" t="s">
        <v>1628</v>
      </c>
      <c r="M681" s="402">
        <v>4354595</v>
      </c>
      <c r="N681" s="402">
        <v>0</v>
      </c>
      <c r="O681" s="402">
        <v>0</v>
      </c>
      <c r="P681" s="402">
        <v>0</v>
      </c>
      <c r="Q681" s="402">
        <v>0</v>
      </c>
      <c r="R681" s="402">
        <v>0</v>
      </c>
      <c r="S681" s="402">
        <v>0</v>
      </c>
      <c r="T681" s="402">
        <v>0</v>
      </c>
      <c r="U681" s="402">
        <v>0</v>
      </c>
      <c r="V681" s="402">
        <v>1223891</v>
      </c>
      <c r="W681" s="402">
        <v>1033708</v>
      </c>
      <c r="X681" s="402">
        <v>849417</v>
      </c>
      <c r="Y681" s="402">
        <v>687377</v>
      </c>
      <c r="Z681" s="402">
        <v>560202</v>
      </c>
      <c r="AA681" s="402">
        <v>4354595</v>
      </c>
    </row>
    <row r="682" spans="10:27" ht="15" customHeight="1" x14ac:dyDescent="0.25">
      <c r="J682" s="400" t="s">
        <v>336</v>
      </c>
      <c r="K682" s="408" t="s">
        <v>1629</v>
      </c>
      <c r="L682" s="402" t="s">
        <v>1630</v>
      </c>
      <c r="M682" s="402">
        <v>147896</v>
      </c>
      <c r="N682" s="402">
        <v>0</v>
      </c>
      <c r="O682" s="402">
        <v>0</v>
      </c>
      <c r="P682" s="402">
        <v>0</v>
      </c>
      <c r="Q682" s="402">
        <v>0</v>
      </c>
      <c r="R682" s="402">
        <v>0</v>
      </c>
      <c r="S682" s="402">
        <v>0</v>
      </c>
      <c r="T682" s="402">
        <v>0</v>
      </c>
      <c r="U682" s="402">
        <v>0</v>
      </c>
      <c r="V682" s="402">
        <v>27260</v>
      </c>
      <c r="W682" s="402">
        <v>28385</v>
      </c>
      <c r="X682" s="402">
        <v>29663</v>
      </c>
      <c r="Y682" s="402">
        <v>30794</v>
      </c>
      <c r="Z682" s="402">
        <v>31794</v>
      </c>
      <c r="AA682" s="402">
        <v>147896</v>
      </c>
    </row>
    <row r="683" spans="10:27" ht="15" customHeight="1" x14ac:dyDescent="0.25">
      <c r="J683" s="400" t="s">
        <v>336</v>
      </c>
      <c r="K683" s="408" t="s">
        <v>1631</v>
      </c>
      <c r="L683" s="402" t="s">
        <v>1632</v>
      </c>
      <c r="M683" s="402">
        <v>1883</v>
      </c>
      <c r="N683" s="402">
        <v>0</v>
      </c>
      <c r="O683" s="402">
        <v>0</v>
      </c>
      <c r="P683" s="402">
        <v>0</v>
      </c>
      <c r="Q683" s="402">
        <v>0</v>
      </c>
      <c r="R683" s="402">
        <v>0</v>
      </c>
      <c r="S683" s="402">
        <v>0</v>
      </c>
      <c r="T683" s="402">
        <v>0</v>
      </c>
      <c r="U683" s="402">
        <v>0</v>
      </c>
      <c r="V683" s="402">
        <v>0</v>
      </c>
      <c r="W683" s="402">
        <v>0</v>
      </c>
      <c r="X683" s="402">
        <v>0</v>
      </c>
      <c r="Y683" s="402">
        <v>0</v>
      </c>
      <c r="Z683" s="402">
        <v>1883</v>
      </c>
      <c r="AA683" s="402">
        <v>1883</v>
      </c>
    </row>
    <row r="684" spans="10:27" ht="15" customHeight="1" x14ac:dyDescent="0.25">
      <c r="J684" s="400" t="s">
        <v>336</v>
      </c>
      <c r="K684" s="408" t="s">
        <v>1633</v>
      </c>
      <c r="L684" s="402" t="s">
        <v>1634</v>
      </c>
      <c r="M684" s="402">
        <v>686019.35202700004</v>
      </c>
      <c r="N684" s="402">
        <v>0</v>
      </c>
      <c r="O684" s="402">
        <v>0</v>
      </c>
      <c r="P684" s="402">
        <v>0</v>
      </c>
      <c r="Q684" s="402">
        <v>0</v>
      </c>
      <c r="R684" s="402">
        <v>0</v>
      </c>
      <c r="S684" s="402">
        <v>0</v>
      </c>
      <c r="T684" s="402">
        <v>0</v>
      </c>
      <c r="U684" s="402">
        <v>0</v>
      </c>
      <c r="V684" s="402">
        <v>343009.67601350002</v>
      </c>
      <c r="W684" s="402">
        <v>343009.67601350002</v>
      </c>
      <c r="X684" s="402">
        <v>0</v>
      </c>
      <c r="Y684" s="402">
        <v>0</v>
      </c>
      <c r="Z684" s="402">
        <v>0</v>
      </c>
      <c r="AA684" s="402">
        <v>686019.35202700004</v>
      </c>
    </row>
    <row r="685" spans="10:27" ht="15" customHeight="1" x14ac:dyDescent="0.25">
      <c r="J685" s="400" t="s">
        <v>336</v>
      </c>
      <c r="K685" s="408" t="s">
        <v>1635</v>
      </c>
      <c r="L685" s="402" t="s">
        <v>1636</v>
      </c>
      <c r="M685" s="402">
        <v>0</v>
      </c>
      <c r="N685" s="402">
        <v>879600.0085001</v>
      </c>
      <c r="O685" s="402">
        <v>0</v>
      </c>
      <c r="P685" s="402">
        <v>0</v>
      </c>
      <c r="Q685" s="402">
        <v>0</v>
      </c>
      <c r="R685" s="402">
        <v>0</v>
      </c>
      <c r="S685" s="402">
        <v>0</v>
      </c>
      <c r="T685" s="402">
        <v>0</v>
      </c>
      <c r="U685" s="402">
        <v>0</v>
      </c>
      <c r="V685" s="402">
        <v>0</v>
      </c>
      <c r="W685" s="402">
        <v>0</v>
      </c>
      <c r="X685" s="402">
        <v>0</v>
      </c>
      <c r="Y685" s="402">
        <v>0</v>
      </c>
      <c r="Z685" s="402">
        <v>0</v>
      </c>
      <c r="AA685" s="402">
        <v>0</v>
      </c>
    </row>
    <row r="686" spans="10:27" ht="15" customHeight="1" x14ac:dyDescent="0.25">
      <c r="J686" s="400" t="s">
        <v>336</v>
      </c>
      <c r="K686" s="408" t="s">
        <v>1637</v>
      </c>
      <c r="L686" s="402" t="s">
        <v>1638</v>
      </c>
      <c r="M686" s="402">
        <v>2618191</v>
      </c>
      <c r="N686" s="402">
        <v>5362999.9914998999</v>
      </c>
      <c r="O686" s="402">
        <v>0</v>
      </c>
      <c r="P686" s="402">
        <v>0</v>
      </c>
      <c r="Q686" s="402">
        <v>0</v>
      </c>
      <c r="R686" s="402">
        <v>0</v>
      </c>
      <c r="S686" s="402">
        <v>0</v>
      </c>
      <c r="T686" s="402">
        <v>0</v>
      </c>
      <c r="U686" s="402">
        <v>0</v>
      </c>
      <c r="V686" s="402">
        <v>492000</v>
      </c>
      <c r="W686" s="402">
        <v>576691</v>
      </c>
      <c r="X686" s="402">
        <v>495000</v>
      </c>
      <c r="Y686" s="402">
        <v>496000</v>
      </c>
      <c r="Z686" s="402">
        <v>558500</v>
      </c>
      <c r="AA686" s="402">
        <v>2618191</v>
      </c>
    </row>
    <row r="687" spans="10:27" ht="15" customHeight="1" x14ac:dyDescent="0.25">
      <c r="J687" s="400" t="s">
        <v>336</v>
      </c>
      <c r="K687" s="408" t="s">
        <v>1639</v>
      </c>
      <c r="L687" s="402" t="s">
        <v>1640</v>
      </c>
      <c r="M687" s="402">
        <v>2990760.15</v>
      </c>
      <c r="N687" s="402">
        <v>5127017.34</v>
      </c>
      <c r="O687" s="402">
        <v>427251.45</v>
      </c>
      <c r="P687" s="402">
        <v>427251.45</v>
      </c>
      <c r="Q687" s="402">
        <v>427251.45</v>
      </c>
      <c r="R687" s="402">
        <v>427251.45</v>
      </c>
      <c r="S687" s="402">
        <v>427251.45</v>
      </c>
      <c r="T687" s="402">
        <v>427251.45</v>
      </c>
      <c r="U687" s="402">
        <v>427251.45</v>
      </c>
      <c r="V687" s="402">
        <v>0</v>
      </c>
      <c r="W687" s="402">
        <v>0</v>
      </c>
      <c r="X687" s="402">
        <v>0</v>
      </c>
      <c r="Y687" s="402">
        <v>0</v>
      </c>
      <c r="Z687" s="402">
        <v>0</v>
      </c>
      <c r="AA687" s="402">
        <v>2990760.15</v>
      </c>
    </row>
    <row r="688" spans="10:27" ht="15" customHeight="1" x14ac:dyDescent="0.25">
      <c r="J688" s="400" t="s">
        <v>336</v>
      </c>
      <c r="K688" s="408" t="s">
        <v>1641</v>
      </c>
      <c r="L688" s="402" t="s">
        <v>1642</v>
      </c>
      <c r="M688" s="402">
        <v>2136257.19</v>
      </c>
      <c r="N688" s="402">
        <v>0</v>
      </c>
      <c r="O688" s="402">
        <v>0</v>
      </c>
      <c r="P688" s="402">
        <v>0</v>
      </c>
      <c r="Q688" s="402">
        <v>0</v>
      </c>
      <c r="R688" s="402">
        <v>0</v>
      </c>
      <c r="S688" s="402">
        <v>0</v>
      </c>
      <c r="T688" s="402">
        <v>0</v>
      </c>
      <c r="U688" s="402">
        <v>0</v>
      </c>
      <c r="V688" s="402">
        <v>427251.45</v>
      </c>
      <c r="W688" s="402">
        <v>427251.45</v>
      </c>
      <c r="X688" s="402">
        <v>427251.45</v>
      </c>
      <c r="Y688" s="402">
        <v>427251.45</v>
      </c>
      <c r="Z688" s="402">
        <v>427251.39</v>
      </c>
      <c r="AA688" s="402">
        <v>2136257.19</v>
      </c>
    </row>
    <row r="689" spans="10:27" ht="15" customHeight="1" x14ac:dyDescent="0.25">
      <c r="J689" s="400" t="s">
        <v>336</v>
      </c>
      <c r="K689" s="408" t="s">
        <v>1643</v>
      </c>
      <c r="L689" s="402" t="s">
        <v>1644</v>
      </c>
      <c r="M689" s="402">
        <v>846405.87</v>
      </c>
      <c r="N689" s="402">
        <v>0</v>
      </c>
      <c r="O689" s="402">
        <v>4304.41</v>
      </c>
      <c r="P689" s="402">
        <v>10579.41</v>
      </c>
      <c r="Q689" s="402">
        <v>4304.41</v>
      </c>
      <c r="R689" s="402">
        <v>4304.41</v>
      </c>
      <c r="S689" s="402">
        <v>814304.41</v>
      </c>
      <c r="T689" s="402">
        <v>4304.41</v>
      </c>
      <c r="U689" s="402">
        <v>4304.41</v>
      </c>
      <c r="V689" s="402">
        <v>0</v>
      </c>
      <c r="W689" s="402">
        <v>0</v>
      </c>
      <c r="X689" s="402">
        <v>0</v>
      </c>
      <c r="Y689" s="402">
        <v>0</v>
      </c>
      <c r="Z689" s="402">
        <v>0</v>
      </c>
      <c r="AA689" s="402">
        <v>846405.87</v>
      </c>
    </row>
    <row r="690" spans="10:27" ht="15" customHeight="1" x14ac:dyDescent="0.25">
      <c r="J690" s="400" t="s">
        <v>336</v>
      </c>
      <c r="K690" s="408" t="s">
        <v>1645</v>
      </c>
      <c r="L690" s="402" t="s">
        <v>1646</v>
      </c>
      <c r="M690" s="402">
        <v>244022.05</v>
      </c>
      <c r="N690" s="402">
        <v>1378644</v>
      </c>
      <c r="O690" s="402">
        <v>0</v>
      </c>
      <c r="P690" s="402">
        <v>0</v>
      </c>
      <c r="Q690" s="402">
        <v>0</v>
      </c>
      <c r="R690" s="402">
        <v>0</v>
      </c>
      <c r="S690" s="402">
        <v>0</v>
      </c>
      <c r="T690" s="402">
        <v>0</v>
      </c>
      <c r="U690" s="402">
        <v>0</v>
      </c>
      <c r="V690" s="402">
        <v>4304.41</v>
      </c>
      <c r="W690" s="402">
        <v>4304.41</v>
      </c>
      <c r="X690" s="402">
        <v>11804.41</v>
      </c>
      <c r="Y690" s="402">
        <v>211804.41</v>
      </c>
      <c r="Z690" s="402">
        <v>11804.41</v>
      </c>
      <c r="AA690" s="402">
        <v>244022.05</v>
      </c>
    </row>
    <row r="691" spans="10:27" ht="15" customHeight="1" x14ac:dyDescent="0.2">
      <c r="J691" s="392" t="s">
        <v>336</v>
      </c>
      <c r="K691" s="397" t="s">
        <v>1647</v>
      </c>
      <c r="L691" s="392" t="s">
        <v>1648</v>
      </c>
      <c r="M691" s="393">
        <v>35013984.194106601</v>
      </c>
      <c r="N691" s="393">
        <v>16507097.6084367</v>
      </c>
      <c r="O691" s="393">
        <v>2706246.45</v>
      </c>
      <c r="P691" s="393">
        <v>2731625.43</v>
      </c>
      <c r="Q691" s="393">
        <v>2979907.1</v>
      </c>
      <c r="R691" s="393">
        <v>3074341.59</v>
      </c>
      <c r="S691" s="393">
        <v>3220526.7</v>
      </c>
      <c r="T691" s="393">
        <v>3229022.69</v>
      </c>
      <c r="U691" s="393">
        <v>3394146.54</v>
      </c>
      <c r="V691" s="393">
        <v>3393236.5959000001</v>
      </c>
      <c r="W691" s="393">
        <v>3412485.9288932998</v>
      </c>
      <c r="X691" s="393">
        <v>3465718.6656999998</v>
      </c>
      <c r="Y691" s="393">
        <v>3406726.5036133002</v>
      </c>
      <c r="Z691" s="393">
        <v>0</v>
      </c>
      <c r="AA691" s="393">
        <v>35013984.194106601</v>
      </c>
    </row>
    <row r="692" spans="10:27" ht="15" customHeight="1" x14ac:dyDescent="0.25">
      <c r="J692" s="400" t="s">
        <v>336</v>
      </c>
      <c r="K692" s="408" t="s">
        <v>1649</v>
      </c>
      <c r="L692" s="402" t="s">
        <v>1650</v>
      </c>
      <c r="M692" s="402">
        <v>21335816.5</v>
      </c>
      <c r="N692" s="402">
        <v>0</v>
      </c>
      <c r="O692" s="402">
        <v>2706246.45</v>
      </c>
      <c r="P692" s="402">
        <v>2731625.43</v>
      </c>
      <c r="Q692" s="402">
        <v>2979907.1</v>
      </c>
      <c r="R692" s="402">
        <v>3074341.59</v>
      </c>
      <c r="S692" s="402">
        <v>3220526.7</v>
      </c>
      <c r="T692" s="402">
        <v>3229022.69</v>
      </c>
      <c r="U692" s="402">
        <v>3394146.54</v>
      </c>
      <c r="V692" s="402">
        <v>0</v>
      </c>
      <c r="W692" s="402">
        <v>0</v>
      </c>
      <c r="X692" s="402">
        <v>0</v>
      </c>
      <c r="Y692" s="402">
        <v>0</v>
      </c>
      <c r="Z692" s="402">
        <v>0</v>
      </c>
      <c r="AA692" s="402">
        <v>21335816.5</v>
      </c>
    </row>
    <row r="693" spans="10:27" ht="15" customHeight="1" x14ac:dyDescent="0.25">
      <c r="J693" s="400" t="s">
        <v>336</v>
      </c>
      <c r="K693" s="408" t="s">
        <v>1651</v>
      </c>
      <c r="L693" s="402" t="s">
        <v>1652</v>
      </c>
      <c r="M693" s="402">
        <v>13678167.694106599</v>
      </c>
      <c r="N693" s="402">
        <v>16507097.6084367</v>
      </c>
      <c r="O693" s="402">
        <v>0</v>
      </c>
      <c r="P693" s="402">
        <v>0</v>
      </c>
      <c r="Q693" s="402">
        <v>0</v>
      </c>
      <c r="R693" s="402">
        <v>0</v>
      </c>
      <c r="S693" s="402">
        <v>0</v>
      </c>
      <c r="T693" s="402">
        <v>0</v>
      </c>
      <c r="U693" s="402">
        <v>0</v>
      </c>
      <c r="V693" s="402">
        <v>3393236.5959000001</v>
      </c>
      <c r="W693" s="402">
        <v>3412485.9288932998</v>
      </c>
      <c r="X693" s="402">
        <v>3465718.6656999998</v>
      </c>
      <c r="Y693" s="402">
        <v>3406726.5036133002</v>
      </c>
      <c r="Z693" s="402">
        <v>0</v>
      </c>
      <c r="AA693" s="402">
        <v>13678167.694106599</v>
      </c>
    </row>
    <row r="694" spans="10:27" ht="15" customHeight="1" x14ac:dyDescent="0.2">
      <c r="J694" s="392" t="s">
        <v>336</v>
      </c>
      <c r="K694" s="397" t="s">
        <v>1653</v>
      </c>
      <c r="L694" s="392" t="s">
        <v>1654</v>
      </c>
      <c r="M694" s="393">
        <v>289903.5</v>
      </c>
      <c r="N694" s="393">
        <v>289918.60666659998</v>
      </c>
      <c r="O694" s="393">
        <v>23830.38</v>
      </c>
      <c r="P694" s="393">
        <v>585.72</v>
      </c>
      <c r="Q694" s="393">
        <v>12205.03</v>
      </c>
      <c r="R694" s="393">
        <v>12205.03</v>
      </c>
      <c r="S694" s="393">
        <v>12205.03</v>
      </c>
      <c r="T694" s="393">
        <v>12205.03</v>
      </c>
      <c r="U694" s="393">
        <v>12205.03</v>
      </c>
      <c r="V694" s="393">
        <v>12208.05</v>
      </c>
      <c r="W694" s="393">
        <v>12208.05</v>
      </c>
      <c r="X694" s="393">
        <v>12208.05</v>
      </c>
      <c r="Y694" s="393">
        <v>83919.05</v>
      </c>
      <c r="Z694" s="393">
        <v>83919.05</v>
      </c>
      <c r="AA694" s="393">
        <v>289903.5</v>
      </c>
    </row>
    <row r="695" spans="10:27" ht="15" customHeight="1" x14ac:dyDescent="0.25">
      <c r="J695" s="400" t="s">
        <v>336</v>
      </c>
      <c r="K695" s="408" t="s">
        <v>1655</v>
      </c>
      <c r="L695" s="402" t="s">
        <v>1656</v>
      </c>
      <c r="M695" s="402">
        <v>85441.25</v>
      </c>
      <c r="N695" s="402">
        <v>0</v>
      </c>
      <c r="O695" s="402">
        <v>23830.38</v>
      </c>
      <c r="P695" s="402">
        <v>585.72</v>
      </c>
      <c r="Q695" s="402">
        <v>12205.03</v>
      </c>
      <c r="R695" s="402">
        <v>12205.03</v>
      </c>
      <c r="S695" s="402">
        <v>12205.03</v>
      </c>
      <c r="T695" s="402">
        <v>12205.03</v>
      </c>
      <c r="U695" s="402">
        <v>12205.03</v>
      </c>
      <c r="V695" s="402">
        <v>0</v>
      </c>
      <c r="W695" s="402">
        <v>0</v>
      </c>
      <c r="X695" s="402">
        <v>0</v>
      </c>
      <c r="Y695" s="402">
        <v>0</v>
      </c>
      <c r="Z695" s="402">
        <v>0</v>
      </c>
      <c r="AA695" s="402">
        <v>85441.25</v>
      </c>
    </row>
    <row r="696" spans="10:27" ht="15" customHeight="1" x14ac:dyDescent="0.25">
      <c r="J696" s="400" t="s">
        <v>336</v>
      </c>
      <c r="K696" s="408" t="s">
        <v>1657</v>
      </c>
      <c r="L696" s="402" t="s">
        <v>1658</v>
      </c>
      <c r="M696" s="402">
        <v>37499.730000000003</v>
      </c>
      <c r="N696" s="402">
        <v>120305.34</v>
      </c>
      <c r="O696" s="402">
        <v>0</v>
      </c>
      <c r="P696" s="402">
        <v>0</v>
      </c>
      <c r="Q696" s="402">
        <v>0</v>
      </c>
      <c r="R696" s="402">
        <v>0</v>
      </c>
      <c r="S696" s="402">
        <v>0</v>
      </c>
      <c r="T696" s="402">
        <v>0</v>
      </c>
      <c r="U696" s="402">
        <v>0</v>
      </c>
      <c r="V696" s="402">
        <v>11912.19</v>
      </c>
      <c r="W696" s="402">
        <v>12208.05</v>
      </c>
      <c r="X696" s="402">
        <v>12208.05</v>
      </c>
      <c r="Y696" s="402">
        <v>585.72</v>
      </c>
      <c r="Z696" s="402">
        <v>585.72</v>
      </c>
      <c r="AA696" s="402">
        <v>37499.730000000003</v>
      </c>
    </row>
    <row r="697" spans="10:27" ht="15" customHeight="1" x14ac:dyDescent="0.25">
      <c r="J697" s="400" t="s">
        <v>336</v>
      </c>
      <c r="K697" s="408" t="s">
        <v>1659</v>
      </c>
      <c r="L697" s="402" t="s">
        <v>1660</v>
      </c>
      <c r="M697" s="402">
        <v>166962.51999999999</v>
      </c>
      <c r="N697" s="402">
        <v>169613.26666659999</v>
      </c>
      <c r="O697" s="402">
        <v>0</v>
      </c>
      <c r="P697" s="402">
        <v>0</v>
      </c>
      <c r="Q697" s="402">
        <v>0</v>
      </c>
      <c r="R697" s="402">
        <v>0</v>
      </c>
      <c r="S697" s="402">
        <v>0</v>
      </c>
      <c r="T697" s="402">
        <v>0</v>
      </c>
      <c r="U697" s="402">
        <v>0</v>
      </c>
      <c r="V697" s="402">
        <v>295.86</v>
      </c>
      <c r="W697" s="402">
        <v>0</v>
      </c>
      <c r="X697" s="402">
        <v>0</v>
      </c>
      <c r="Y697" s="402">
        <v>83333.33</v>
      </c>
      <c r="Z697" s="402">
        <v>83333.33</v>
      </c>
      <c r="AA697" s="402">
        <v>166962.51999999999</v>
      </c>
    </row>
    <row r="698" spans="10:27" ht="15" customHeight="1" x14ac:dyDescent="0.2">
      <c r="J698" s="392" t="s">
        <v>336</v>
      </c>
      <c r="K698" s="395" t="s">
        <v>1661</v>
      </c>
      <c r="L698" s="392" t="s">
        <v>1662</v>
      </c>
      <c r="M698" s="393">
        <v>235686482.4827176</v>
      </c>
      <c r="N698" s="393">
        <v>203395887.0302729</v>
      </c>
      <c r="O698" s="393">
        <v>18446997.120000001</v>
      </c>
      <c r="P698" s="393">
        <v>19962813.559999999</v>
      </c>
      <c r="Q698" s="393">
        <v>19895661.600000001</v>
      </c>
      <c r="R698" s="393">
        <v>20110796.760000002</v>
      </c>
      <c r="S698" s="393">
        <v>20330260.77</v>
      </c>
      <c r="T698" s="393">
        <v>20113323.960000001</v>
      </c>
      <c r="U698" s="393">
        <v>20617873.07</v>
      </c>
      <c r="V698" s="393">
        <v>20114964.696808599</v>
      </c>
      <c r="W698" s="393">
        <v>19930635.7285689</v>
      </c>
      <c r="X698" s="393">
        <v>19660748.1530062</v>
      </c>
      <c r="Y698" s="393">
        <v>19985277.694832999</v>
      </c>
      <c r="Z698" s="393">
        <v>16517129.3695009</v>
      </c>
      <c r="AA698" s="393">
        <v>235686482.4827176</v>
      </c>
    </row>
    <row r="699" spans="10:27" ht="15" customHeight="1" x14ac:dyDescent="0.2">
      <c r="J699" s="392" t="s">
        <v>336</v>
      </c>
      <c r="K699" s="396" t="s">
        <v>1663</v>
      </c>
      <c r="L699" s="392" t="s">
        <v>1664</v>
      </c>
      <c r="M699" s="393">
        <v>241915891.9827176</v>
      </c>
      <c r="N699" s="393">
        <v>209300266.57027289</v>
      </c>
      <c r="O699" s="393">
        <v>18771588.359999999</v>
      </c>
      <c r="P699" s="393">
        <v>20308865.550000001</v>
      </c>
      <c r="Q699" s="393">
        <v>20266588.98</v>
      </c>
      <c r="R699" s="393">
        <v>20522173.93</v>
      </c>
      <c r="S699" s="393">
        <v>20779399.350000001</v>
      </c>
      <c r="T699" s="393">
        <v>20606031.510000002</v>
      </c>
      <c r="U699" s="393">
        <v>21163127.640000001</v>
      </c>
      <c r="V699" s="393">
        <v>20712804.146808598</v>
      </c>
      <c r="W699" s="393">
        <v>20574319.508568902</v>
      </c>
      <c r="X699" s="393">
        <v>20356549.4530062</v>
      </c>
      <c r="Y699" s="393">
        <v>20730948.864833001</v>
      </c>
      <c r="Z699" s="393">
        <v>17123494.689500902</v>
      </c>
      <c r="AA699" s="393">
        <v>241915891.9827176</v>
      </c>
    </row>
    <row r="700" spans="10:27" ht="15" customHeight="1" x14ac:dyDescent="0.2">
      <c r="J700" s="392" t="s">
        <v>336</v>
      </c>
      <c r="K700" s="397" t="s">
        <v>1665</v>
      </c>
      <c r="L700" s="392" t="s">
        <v>1666</v>
      </c>
      <c r="M700" s="393">
        <v>10091489.640000001</v>
      </c>
      <c r="N700" s="393">
        <v>0</v>
      </c>
      <c r="O700" s="393">
        <v>0</v>
      </c>
      <c r="P700" s="393">
        <v>1877789.11</v>
      </c>
      <c r="Q700" s="393">
        <v>925197.33</v>
      </c>
      <c r="R700" s="393">
        <v>882256.38</v>
      </c>
      <c r="S700" s="393">
        <v>922131.16</v>
      </c>
      <c r="T700" s="393">
        <v>904954.38</v>
      </c>
      <c r="U700" s="393">
        <v>939161.28</v>
      </c>
      <c r="V700" s="393">
        <v>910000</v>
      </c>
      <c r="W700" s="393">
        <v>910000</v>
      </c>
      <c r="X700" s="393">
        <v>910000</v>
      </c>
      <c r="Y700" s="393">
        <v>910000</v>
      </c>
      <c r="Z700" s="393">
        <v>0</v>
      </c>
      <c r="AA700" s="393">
        <v>10091489.640000001</v>
      </c>
    </row>
    <row r="701" spans="10:27" ht="15" customHeight="1" x14ac:dyDescent="0.25">
      <c r="J701" s="400" t="s">
        <v>336</v>
      </c>
      <c r="K701" s="408" t="s">
        <v>1667</v>
      </c>
      <c r="L701" s="402" t="s">
        <v>1668</v>
      </c>
      <c r="M701" s="402">
        <v>10091489.640000001</v>
      </c>
      <c r="N701" s="402">
        <v>0</v>
      </c>
      <c r="O701" s="402">
        <v>0</v>
      </c>
      <c r="P701" s="402">
        <v>1877789.11</v>
      </c>
      <c r="Q701" s="402">
        <v>925197.33</v>
      </c>
      <c r="R701" s="402">
        <v>882256.38</v>
      </c>
      <c r="S701" s="402">
        <v>922131.16</v>
      </c>
      <c r="T701" s="402">
        <v>904954.38</v>
      </c>
      <c r="U701" s="402">
        <v>939161.28</v>
      </c>
      <c r="V701" s="402">
        <v>910000</v>
      </c>
      <c r="W701" s="402">
        <v>910000</v>
      </c>
      <c r="X701" s="402">
        <v>910000</v>
      </c>
      <c r="Y701" s="402">
        <v>910000</v>
      </c>
      <c r="Z701" s="402">
        <v>0</v>
      </c>
      <c r="AA701" s="402">
        <v>10091489.640000001</v>
      </c>
    </row>
    <row r="702" spans="10:27" ht="15" customHeight="1" x14ac:dyDescent="0.2">
      <c r="J702" s="392" t="s">
        <v>336</v>
      </c>
      <c r="K702" s="397" t="s">
        <v>1669</v>
      </c>
      <c r="L702" s="392" t="s">
        <v>1670</v>
      </c>
      <c r="M702" s="393">
        <v>163735800.99000001</v>
      </c>
      <c r="N702" s="393">
        <v>163524461.49000001</v>
      </c>
      <c r="O702" s="393">
        <v>13694247.25</v>
      </c>
      <c r="P702" s="393">
        <v>13642199.83</v>
      </c>
      <c r="Q702" s="393">
        <v>13642199.83</v>
      </c>
      <c r="R702" s="393">
        <v>13642199.83</v>
      </c>
      <c r="S702" s="393">
        <v>13642199.83</v>
      </c>
      <c r="T702" s="393">
        <v>13642199.83</v>
      </c>
      <c r="U702" s="393">
        <v>13642199.83</v>
      </c>
      <c r="V702" s="393">
        <v>13642199.83</v>
      </c>
      <c r="W702" s="393">
        <v>13642199.83</v>
      </c>
      <c r="X702" s="393">
        <v>13634651.699999999</v>
      </c>
      <c r="Y702" s="393">
        <v>13634651.699999999</v>
      </c>
      <c r="Z702" s="393">
        <v>13634651.699999999</v>
      </c>
      <c r="AA702" s="393">
        <v>163735800.99000001</v>
      </c>
    </row>
    <row r="703" spans="10:27" ht="15" customHeight="1" x14ac:dyDescent="0.25">
      <c r="J703" s="400" t="s">
        <v>336</v>
      </c>
      <c r="K703" s="408" t="s">
        <v>1671</v>
      </c>
      <c r="L703" s="402" t="s">
        <v>1672</v>
      </c>
      <c r="M703" s="402">
        <v>275762.90000000002</v>
      </c>
      <c r="N703" s="402">
        <v>0</v>
      </c>
      <c r="O703" s="402">
        <v>39394.699999999997</v>
      </c>
      <c r="P703" s="402">
        <v>39394.699999999997</v>
      </c>
      <c r="Q703" s="402">
        <v>39394.699999999997</v>
      </c>
      <c r="R703" s="402">
        <v>39394.699999999997</v>
      </c>
      <c r="S703" s="402">
        <v>39394.699999999997</v>
      </c>
      <c r="T703" s="402">
        <v>39394.699999999997</v>
      </c>
      <c r="U703" s="402">
        <v>39394.699999999997</v>
      </c>
      <c r="V703" s="402">
        <v>0</v>
      </c>
      <c r="W703" s="402">
        <v>0</v>
      </c>
      <c r="X703" s="402">
        <v>0</v>
      </c>
      <c r="Y703" s="402">
        <v>0</v>
      </c>
      <c r="Z703" s="402">
        <v>0</v>
      </c>
      <c r="AA703" s="402">
        <v>275762.90000000002</v>
      </c>
    </row>
    <row r="704" spans="10:27" ht="15" customHeight="1" x14ac:dyDescent="0.25">
      <c r="J704" s="400" t="s">
        <v>336</v>
      </c>
      <c r="K704" s="408" t="s">
        <v>1673</v>
      </c>
      <c r="L704" s="402" t="s">
        <v>1674</v>
      </c>
      <c r="M704" s="402">
        <v>93471875</v>
      </c>
      <c r="N704" s="402">
        <v>0</v>
      </c>
      <c r="O704" s="402">
        <v>13353125</v>
      </c>
      <c r="P704" s="402">
        <v>13353125</v>
      </c>
      <c r="Q704" s="402">
        <v>13353125</v>
      </c>
      <c r="R704" s="402">
        <v>13353125</v>
      </c>
      <c r="S704" s="402">
        <v>13353125</v>
      </c>
      <c r="T704" s="402">
        <v>13353125</v>
      </c>
      <c r="U704" s="402">
        <v>13353125</v>
      </c>
      <c r="V704" s="402">
        <v>0</v>
      </c>
      <c r="W704" s="402">
        <v>0</v>
      </c>
      <c r="X704" s="402">
        <v>0</v>
      </c>
      <c r="Y704" s="402">
        <v>0</v>
      </c>
      <c r="Z704" s="402">
        <v>0</v>
      </c>
      <c r="AA704" s="402">
        <v>93471875</v>
      </c>
    </row>
    <row r="705" spans="10:27" ht="15" customHeight="1" x14ac:dyDescent="0.25">
      <c r="J705" s="400" t="s">
        <v>336</v>
      </c>
      <c r="K705" s="408" t="s">
        <v>1675</v>
      </c>
      <c r="L705" s="402" t="s">
        <v>1676</v>
      </c>
      <c r="M705" s="402">
        <v>363335.21</v>
      </c>
      <c r="N705" s="402">
        <v>0</v>
      </c>
      <c r="O705" s="402">
        <v>51905.03</v>
      </c>
      <c r="P705" s="402">
        <v>51905.03</v>
      </c>
      <c r="Q705" s="402">
        <v>51905.03</v>
      </c>
      <c r="R705" s="402">
        <v>51905.03</v>
      </c>
      <c r="S705" s="402">
        <v>51905.03</v>
      </c>
      <c r="T705" s="402">
        <v>51905.03</v>
      </c>
      <c r="U705" s="402">
        <v>51905.03</v>
      </c>
      <c r="V705" s="402">
        <v>0</v>
      </c>
      <c r="W705" s="402">
        <v>0</v>
      </c>
      <c r="X705" s="402">
        <v>0</v>
      </c>
      <c r="Y705" s="402">
        <v>0</v>
      </c>
      <c r="Z705" s="402">
        <v>0</v>
      </c>
      <c r="AA705" s="402">
        <v>363335.21</v>
      </c>
    </row>
    <row r="706" spans="10:27" ht="15" customHeight="1" x14ac:dyDescent="0.25">
      <c r="J706" s="400" t="s">
        <v>336</v>
      </c>
      <c r="K706" s="408" t="s">
        <v>1677</v>
      </c>
      <c r="L706" s="402" t="s">
        <v>1678</v>
      </c>
      <c r="M706" s="402">
        <v>1436473.12</v>
      </c>
      <c r="N706" s="402">
        <v>0</v>
      </c>
      <c r="O706" s="402">
        <v>249822.52</v>
      </c>
      <c r="P706" s="402">
        <v>197775.1</v>
      </c>
      <c r="Q706" s="402">
        <v>197775.1</v>
      </c>
      <c r="R706" s="402">
        <v>197775.1</v>
      </c>
      <c r="S706" s="402">
        <v>197775.1</v>
      </c>
      <c r="T706" s="402">
        <v>197775.1</v>
      </c>
      <c r="U706" s="402">
        <v>197775.1</v>
      </c>
      <c r="V706" s="402">
        <v>0</v>
      </c>
      <c r="W706" s="402">
        <v>0</v>
      </c>
      <c r="X706" s="402">
        <v>0</v>
      </c>
      <c r="Y706" s="402">
        <v>0</v>
      </c>
      <c r="Z706" s="402">
        <v>0</v>
      </c>
      <c r="AA706" s="402">
        <v>1436473.12</v>
      </c>
    </row>
    <row r="707" spans="10:27" ht="15" customHeight="1" x14ac:dyDescent="0.25">
      <c r="J707" s="400" t="s">
        <v>336</v>
      </c>
      <c r="K707" s="408" t="s">
        <v>1679</v>
      </c>
      <c r="L707" s="402" t="s">
        <v>1680</v>
      </c>
      <c r="M707" s="402">
        <v>174329.11</v>
      </c>
      <c r="N707" s="402">
        <v>450092.01</v>
      </c>
      <c r="O707" s="402">
        <v>0</v>
      </c>
      <c r="P707" s="402">
        <v>0</v>
      </c>
      <c r="Q707" s="402">
        <v>0</v>
      </c>
      <c r="R707" s="402">
        <v>0</v>
      </c>
      <c r="S707" s="402">
        <v>0</v>
      </c>
      <c r="T707" s="402">
        <v>0</v>
      </c>
      <c r="U707" s="402">
        <v>0</v>
      </c>
      <c r="V707" s="402">
        <v>39394.699999999997</v>
      </c>
      <c r="W707" s="402">
        <v>39394.699999999997</v>
      </c>
      <c r="X707" s="402">
        <v>31846.57</v>
      </c>
      <c r="Y707" s="402">
        <v>31846.57</v>
      </c>
      <c r="Z707" s="402">
        <v>31846.57</v>
      </c>
      <c r="AA707" s="402">
        <v>174329.11</v>
      </c>
    </row>
    <row r="708" spans="10:27" ht="15" customHeight="1" x14ac:dyDescent="0.25">
      <c r="J708" s="400" t="s">
        <v>336</v>
      </c>
      <c r="K708" s="408" t="s">
        <v>1681</v>
      </c>
      <c r="L708" s="402" t="s">
        <v>1682</v>
      </c>
      <c r="M708" s="402">
        <v>66765625</v>
      </c>
      <c r="N708" s="402">
        <v>160237500</v>
      </c>
      <c r="O708" s="402">
        <v>0</v>
      </c>
      <c r="P708" s="402">
        <v>0</v>
      </c>
      <c r="Q708" s="402">
        <v>0</v>
      </c>
      <c r="R708" s="402">
        <v>0</v>
      </c>
      <c r="S708" s="402">
        <v>0</v>
      </c>
      <c r="T708" s="402">
        <v>0</v>
      </c>
      <c r="U708" s="402">
        <v>0</v>
      </c>
      <c r="V708" s="402">
        <v>13353125</v>
      </c>
      <c r="W708" s="402">
        <v>13353125</v>
      </c>
      <c r="X708" s="402">
        <v>13353125</v>
      </c>
      <c r="Y708" s="402">
        <v>13353125</v>
      </c>
      <c r="Z708" s="402">
        <v>13353125</v>
      </c>
      <c r="AA708" s="402">
        <v>66765625</v>
      </c>
    </row>
    <row r="709" spans="10:27" ht="15" customHeight="1" x14ac:dyDescent="0.25">
      <c r="J709" s="400" t="s">
        <v>336</v>
      </c>
      <c r="K709" s="408" t="s">
        <v>1683</v>
      </c>
      <c r="L709" s="402" t="s">
        <v>1684</v>
      </c>
      <c r="M709" s="402">
        <v>259525.15</v>
      </c>
      <c r="N709" s="402">
        <v>622860.36</v>
      </c>
      <c r="O709" s="402">
        <v>0</v>
      </c>
      <c r="P709" s="402">
        <v>0</v>
      </c>
      <c r="Q709" s="402">
        <v>0</v>
      </c>
      <c r="R709" s="402">
        <v>0</v>
      </c>
      <c r="S709" s="402">
        <v>0</v>
      </c>
      <c r="T709" s="402">
        <v>0</v>
      </c>
      <c r="U709" s="402">
        <v>0</v>
      </c>
      <c r="V709" s="402">
        <v>51905.03</v>
      </c>
      <c r="W709" s="402">
        <v>51905.03</v>
      </c>
      <c r="X709" s="402">
        <v>51905.03</v>
      </c>
      <c r="Y709" s="402">
        <v>51905.03</v>
      </c>
      <c r="Z709" s="402">
        <v>51905.03</v>
      </c>
      <c r="AA709" s="402">
        <v>259525.15</v>
      </c>
    </row>
    <row r="710" spans="10:27" ht="15" customHeight="1" x14ac:dyDescent="0.25">
      <c r="J710" s="400" t="s">
        <v>336</v>
      </c>
      <c r="K710" s="408" t="s">
        <v>1685</v>
      </c>
      <c r="L710" s="402" t="s">
        <v>1686</v>
      </c>
      <c r="M710" s="402">
        <v>988875.5</v>
      </c>
      <c r="N710" s="402">
        <v>2214009.12</v>
      </c>
      <c r="O710" s="402">
        <v>0</v>
      </c>
      <c r="P710" s="402">
        <v>0</v>
      </c>
      <c r="Q710" s="402">
        <v>0</v>
      </c>
      <c r="R710" s="402">
        <v>0</v>
      </c>
      <c r="S710" s="402">
        <v>0</v>
      </c>
      <c r="T710" s="402">
        <v>0</v>
      </c>
      <c r="U710" s="402">
        <v>0</v>
      </c>
      <c r="V710" s="402">
        <v>197775.1</v>
      </c>
      <c r="W710" s="402">
        <v>197775.1</v>
      </c>
      <c r="X710" s="402">
        <v>197775.1</v>
      </c>
      <c r="Y710" s="402">
        <v>197775.1</v>
      </c>
      <c r="Z710" s="402">
        <v>197775.1</v>
      </c>
      <c r="AA710" s="402">
        <v>988875.5</v>
      </c>
    </row>
    <row r="711" spans="10:27" ht="15" customHeight="1" x14ac:dyDescent="0.2">
      <c r="J711" s="392" t="s">
        <v>336</v>
      </c>
      <c r="K711" s="397" t="s">
        <v>1687</v>
      </c>
      <c r="L711" s="392" t="s">
        <v>1688</v>
      </c>
      <c r="M711" s="393">
        <v>68088601.352717593</v>
      </c>
      <c r="N711" s="393">
        <v>45775805.080272898</v>
      </c>
      <c r="O711" s="393">
        <v>5077341.1100000003</v>
      </c>
      <c r="P711" s="393">
        <v>4788876.6100000003</v>
      </c>
      <c r="Q711" s="393">
        <v>5699191.8200000003</v>
      </c>
      <c r="R711" s="393">
        <v>5997717.7199999997</v>
      </c>
      <c r="S711" s="393">
        <v>6215068.3600000003</v>
      </c>
      <c r="T711" s="393">
        <v>6058877.2999999998</v>
      </c>
      <c r="U711" s="393">
        <v>6581766.5300000003</v>
      </c>
      <c r="V711" s="393">
        <v>6160604.3168086</v>
      </c>
      <c r="W711" s="393">
        <v>6022119.6785688996</v>
      </c>
      <c r="X711" s="393">
        <v>5811897.7530062003</v>
      </c>
      <c r="Y711" s="393">
        <v>6186297.1648329999</v>
      </c>
      <c r="Z711" s="393">
        <v>3488842.9895008998</v>
      </c>
      <c r="AA711" s="393">
        <v>68088601.352717593</v>
      </c>
    </row>
    <row r="712" spans="10:27" ht="15" customHeight="1" x14ac:dyDescent="0.25">
      <c r="J712" s="400" t="s">
        <v>336</v>
      </c>
      <c r="K712" s="408" t="s">
        <v>1689</v>
      </c>
      <c r="L712" s="402" t="s">
        <v>1690</v>
      </c>
      <c r="M712" s="402">
        <v>2940048.48</v>
      </c>
      <c r="N712" s="402">
        <v>0</v>
      </c>
      <c r="O712" s="402">
        <v>324591.24</v>
      </c>
      <c r="P712" s="402">
        <v>346051.99</v>
      </c>
      <c r="Q712" s="402">
        <v>370927.38</v>
      </c>
      <c r="R712" s="402">
        <v>411377.17</v>
      </c>
      <c r="S712" s="402">
        <v>449138.58</v>
      </c>
      <c r="T712" s="402">
        <v>492707.55</v>
      </c>
      <c r="U712" s="402">
        <v>545254.56999999995</v>
      </c>
      <c r="V712" s="402">
        <v>0</v>
      </c>
      <c r="W712" s="402">
        <v>0</v>
      </c>
      <c r="X712" s="402">
        <v>0</v>
      </c>
      <c r="Y712" s="402">
        <v>0</v>
      </c>
      <c r="Z712" s="402">
        <v>0</v>
      </c>
      <c r="AA712" s="402">
        <v>2940048.48</v>
      </c>
    </row>
    <row r="713" spans="10:27" ht="15" customHeight="1" x14ac:dyDescent="0.25">
      <c r="J713" s="400" t="s">
        <v>336</v>
      </c>
      <c r="K713" s="408" t="s">
        <v>1691</v>
      </c>
      <c r="L713" s="402" t="s">
        <v>1692</v>
      </c>
      <c r="M713" s="402">
        <v>1681986.59</v>
      </c>
      <c r="N713" s="402">
        <v>0</v>
      </c>
      <c r="O713" s="402">
        <v>233801.41</v>
      </c>
      <c r="P713" s="402">
        <v>236263.5</v>
      </c>
      <c r="Q713" s="402">
        <v>238666.07</v>
      </c>
      <c r="R713" s="402">
        <v>240091.95</v>
      </c>
      <c r="S713" s="402">
        <v>242605.99</v>
      </c>
      <c r="T713" s="402">
        <v>244473.9</v>
      </c>
      <c r="U713" s="402">
        <v>246083.77</v>
      </c>
      <c r="V713" s="402">
        <v>0</v>
      </c>
      <c r="W713" s="402">
        <v>0</v>
      </c>
      <c r="X713" s="402">
        <v>0</v>
      </c>
      <c r="Y713" s="402">
        <v>0</v>
      </c>
      <c r="Z713" s="402">
        <v>0</v>
      </c>
      <c r="AA713" s="402">
        <v>1681986.59</v>
      </c>
    </row>
    <row r="714" spans="10:27" ht="15" customHeight="1" x14ac:dyDescent="0.25">
      <c r="J714" s="400" t="s">
        <v>336</v>
      </c>
      <c r="K714" s="408" t="s">
        <v>1693</v>
      </c>
      <c r="L714" s="402" t="s">
        <v>1694</v>
      </c>
      <c r="M714" s="402">
        <v>451797.73</v>
      </c>
      <c r="N714" s="402">
        <v>0</v>
      </c>
      <c r="O714" s="402">
        <v>58762.37</v>
      </c>
      <c r="P714" s="402">
        <v>59971.29</v>
      </c>
      <c r="Q714" s="402">
        <v>58762.37</v>
      </c>
      <c r="R714" s="402">
        <v>98014.59</v>
      </c>
      <c r="S714" s="402">
        <v>58762.37</v>
      </c>
      <c r="T714" s="402">
        <v>58762.37</v>
      </c>
      <c r="U714" s="402">
        <v>58762.37</v>
      </c>
      <c r="V714" s="402">
        <v>0</v>
      </c>
      <c r="W714" s="402">
        <v>0</v>
      </c>
      <c r="X714" s="402">
        <v>0</v>
      </c>
      <c r="Y714" s="402">
        <v>0</v>
      </c>
      <c r="Z714" s="402">
        <v>0</v>
      </c>
      <c r="AA714" s="402">
        <v>451797.73</v>
      </c>
    </row>
    <row r="715" spans="10:27" ht="15" customHeight="1" x14ac:dyDescent="0.25">
      <c r="J715" s="400" t="s">
        <v>336</v>
      </c>
      <c r="K715" s="408" t="s">
        <v>1695</v>
      </c>
      <c r="L715" s="402" t="s">
        <v>1696</v>
      </c>
      <c r="M715" s="402">
        <v>62706772.202947497</v>
      </c>
      <c r="N715" s="402">
        <v>41615054.558949903</v>
      </c>
      <c r="O715" s="402">
        <v>4671339.76</v>
      </c>
      <c r="P715" s="402">
        <v>4389129.47</v>
      </c>
      <c r="Q715" s="402">
        <v>5295698.1399999997</v>
      </c>
      <c r="R715" s="402">
        <v>5559250.3899999997</v>
      </c>
      <c r="S715" s="402">
        <v>5818536.6799999997</v>
      </c>
      <c r="T715" s="402">
        <v>5656394.1100000003</v>
      </c>
      <c r="U715" s="402">
        <v>6177493.8300000001</v>
      </c>
      <c r="V715" s="402">
        <v>5665096.9443052998</v>
      </c>
      <c r="W715" s="402">
        <v>5522419.1036385</v>
      </c>
      <c r="X715" s="402">
        <v>5309140.4843020001</v>
      </c>
      <c r="Y715" s="402">
        <v>5690032.0011053002</v>
      </c>
      <c r="Z715" s="402">
        <v>2952241.2895964002</v>
      </c>
      <c r="AA715" s="402">
        <v>62706772.202947497</v>
      </c>
    </row>
    <row r="716" spans="10:27" ht="15" customHeight="1" x14ac:dyDescent="0.25">
      <c r="J716" s="400" t="s">
        <v>336</v>
      </c>
      <c r="K716" s="408" t="s">
        <v>1697</v>
      </c>
      <c r="L716" s="402" t="s">
        <v>1698</v>
      </c>
      <c r="M716" s="402">
        <v>-2577</v>
      </c>
      <c r="N716" s="402">
        <v>-70620</v>
      </c>
      <c r="O716" s="402">
        <v>-2577</v>
      </c>
      <c r="P716" s="402">
        <v>0</v>
      </c>
      <c r="Q716" s="402">
        <v>0</v>
      </c>
      <c r="R716" s="402">
        <v>0</v>
      </c>
      <c r="S716" s="402">
        <v>0</v>
      </c>
      <c r="T716" s="402">
        <v>0</v>
      </c>
      <c r="U716" s="402">
        <v>0</v>
      </c>
      <c r="V716" s="402">
        <v>0</v>
      </c>
      <c r="W716" s="402">
        <v>0</v>
      </c>
      <c r="X716" s="402">
        <v>0</v>
      </c>
      <c r="Y716" s="402">
        <v>0</v>
      </c>
      <c r="Z716" s="402">
        <v>0</v>
      </c>
      <c r="AA716" s="402">
        <v>-2577</v>
      </c>
    </row>
    <row r="717" spans="10:27" ht="15" customHeight="1" x14ac:dyDescent="0.25">
      <c r="J717" s="400" t="s">
        <v>336</v>
      </c>
      <c r="K717" s="408" t="s">
        <v>1699</v>
      </c>
      <c r="L717" s="402" t="s">
        <v>1700</v>
      </c>
      <c r="M717" s="402">
        <v>-299219</v>
      </c>
      <c r="N717" s="402">
        <v>-62004</v>
      </c>
      <c r="O717" s="402">
        <v>-18920</v>
      </c>
      <c r="P717" s="402">
        <v>-19784</v>
      </c>
      <c r="Q717" s="402">
        <v>-19298</v>
      </c>
      <c r="R717" s="402">
        <v>-18896</v>
      </c>
      <c r="S717" s="402">
        <v>-13566</v>
      </c>
      <c r="T717" s="402">
        <v>-19841</v>
      </c>
      <c r="U717" s="402">
        <v>-23436</v>
      </c>
      <c r="V717" s="402">
        <v>-27734</v>
      </c>
      <c r="W717" s="402">
        <v>-30787</v>
      </c>
      <c r="X717" s="402">
        <v>-34135</v>
      </c>
      <c r="Y717" s="402">
        <v>-36298</v>
      </c>
      <c r="Z717" s="402">
        <v>-36524</v>
      </c>
      <c r="AA717" s="402">
        <v>-299219</v>
      </c>
    </row>
    <row r="718" spans="10:27" ht="15" customHeight="1" x14ac:dyDescent="0.25">
      <c r="J718" s="400" t="s">
        <v>336</v>
      </c>
      <c r="K718" s="408" t="s">
        <v>1701</v>
      </c>
      <c r="L718" s="402" t="s">
        <v>1702</v>
      </c>
      <c r="M718" s="402">
        <v>-241878</v>
      </c>
      <c r="N718" s="402">
        <v>-147018</v>
      </c>
      <c r="O718" s="402">
        <v>-36669</v>
      </c>
      <c r="P718" s="402">
        <v>-33341</v>
      </c>
      <c r="Q718" s="402">
        <v>-35545</v>
      </c>
      <c r="R718" s="402">
        <v>-34370</v>
      </c>
      <c r="S718" s="402">
        <v>-34804</v>
      </c>
      <c r="T718" s="402">
        <v>-34939</v>
      </c>
      <c r="U718" s="402">
        <v>-32210</v>
      </c>
      <c r="V718" s="402">
        <v>0</v>
      </c>
      <c r="W718" s="402">
        <v>0</v>
      </c>
      <c r="X718" s="402">
        <v>0</v>
      </c>
      <c r="Y718" s="402">
        <v>0</v>
      </c>
      <c r="Z718" s="402">
        <v>0</v>
      </c>
      <c r="AA718" s="402">
        <v>-241878</v>
      </c>
    </row>
    <row r="719" spans="10:27" ht="15" customHeight="1" x14ac:dyDescent="0.25">
      <c r="J719" s="400" t="s">
        <v>336</v>
      </c>
      <c r="K719" s="408" t="s">
        <v>1703</v>
      </c>
      <c r="L719" s="402" t="s">
        <v>1704</v>
      </c>
      <c r="M719" s="402">
        <v>31.41</v>
      </c>
      <c r="N719" s="402">
        <v>0</v>
      </c>
      <c r="O719" s="402">
        <v>9.76</v>
      </c>
      <c r="P719" s="402">
        <v>2.0099999999999998</v>
      </c>
      <c r="Q719" s="402">
        <v>3.65</v>
      </c>
      <c r="R719" s="402">
        <v>4.0599999999999996</v>
      </c>
      <c r="S719" s="402">
        <v>4.7300000000000004</v>
      </c>
      <c r="T719" s="402">
        <v>7.2</v>
      </c>
      <c r="U719" s="402">
        <v>0</v>
      </c>
      <c r="V719" s="402">
        <v>0</v>
      </c>
      <c r="W719" s="402">
        <v>0</v>
      </c>
      <c r="X719" s="402">
        <v>0</v>
      </c>
      <c r="Y719" s="402">
        <v>0</v>
      </c>
      <c r="Z719" s="402">
        <v>0</v>
      </c>
      <c r="AA719" s="402">
        <v>31.41</v>
      </c>
    </row>
    <row r="720" spans="10:27" ht="15" customHeight="1" x14ac:dyDescent="0.25">
      <c r="J720" s="400" t="s">
        <v>336</v>
      </c>
      <c r="K720" s="408" t="s">
        <v>1705</v>
      </c>
      <c r="L720" s="402" t="s">
        <v>1706</v>
      </c>
      <c r="M720" s="402">
        <v>-2940048.48</v>
      </c>
      <c r="N720" s="402">
        <v>0</v>
      </c>
      <c r="O720" s="402">
        <v>-324591.24</v>
      </c>
      <c r="P720" s="402">
        <v>-346051.99</v>
      </c>
      <c r="Q720" s="402">
        <v>-370927.38</v>
      </c>
      <c r="R720" s="402">
        <v>-411377.17</v>
      </c>
      <c r="S720" s="402">
        <v>-449138.58</v>
      </c>
      <c r="T720" s="402">
        <v>-492707.55</v>
      </c>
      <c r="U720" s="402">
        <v>-545254.56999999995</v>
      </c>
      <c r="V720" s="402">
        <v>0</v>
      </c>
      <c r="W720" s="402">
        <v>0</v>
      </c>
      <c r="X720" s="402">
        <v>0</v>
      </c>
      <c r="Y720" s="402">
        <v>0</v>
      </c>
      <c r="Z720" s="402">
        <v>0</v>
      </c>
      <c r="AA720" s="402">
        <v>-2940048.48</v>
      </c>
    </row>
    <row r="721" spans="10:27" ht="15" customHeight="1" x14ac:dyDescent="0.25">
      <c r="J721" s="400" t="s">
        <v>336</v>
      </c>
      <c r="K721" s="408" t="s">
        <v>1707</v>
      </c>
      <c r="L721" s="402" t="s">
        <v>1708</v>
      </c>
      <c r="M721" s="402">
        <v>-227571</v>
      </c>
      <c r="N721" s="402">
        <v>-169430</v>
      </c>
      <c r="O721" s="402">
        <v>-43185</v>
      </c>
      <c r="P721" s="402">
        <v>-37886</v>
      </c>
      <c r="Q721" s="402">
        <v>-36586</v>
      </c>
      <c r="R721" s="402">
        <v>-30710</v>
      </c>
      <c r="S721" s="402">
        <v>-28711</v>
      </c>
      <c r="T721" s="402">
        <v>-26043</v>
      </c>
      <c r="U721" s="402">
        <v>-24450</v>
      </c>
      <c r="V721" s="402">
        <v>0</v>
      </c>
      <c r="W721" s="402">
        <v>0</v>
      </c>
      <c r="X721" s="402">
        <v>0</v>
      </c>
      <c r="Y721" s="402">
        <v>0</v>
      </c>
      <c r="Z721" s="402">
        <v>0</v>
      </c>
      <c r="AA721" s="402">
        <v>-227571</v>
      </c>
    </row>
    <row r="722" spans="10:27" ht="15" customHeight="1" x14ac:dyDescent="0.25">
      <c r="J722" s="400" t="s">
        <v>336</v>
      </c>
      <c r="K722" s="408" t="s">
        <v>1709</v>
      </c>
      <c r="L722" s="402" t="s">
        <v>1710</v>
      </c>
      <c r="M722" s="402">
        <v>1224061.5375824</v>
      </c>
      <c r="N722" s="402">
        <v>2648717.3513230002</v>
      </c>
      <c r="O722" s="402">
        <v>0</v>
      </c>
      <c r="P722" s="402">
        <v>0</v>
      </c>
      <c r="Q722" s="402">
        <v>0</v>
      </c>
      <c r="R722" s="402">
        <v>0</v>
      </c>
      <c r="S722" s="402">
        <v>0</v>
      </c>
      <c r="T722" s="402">
        <v>0</v>
      </c>
      <c r="U722" s="402">
        <v>0</v>
      </c>
      <c r="V722" s="402">
        <v>244608.3822468</v>
      </c>
      <c r="W722" s="402">
        <v>244710.302406</v>
      </c>
      <c r="X722" s="402">
        <v>244812.2650321</v>
      </c>
      <c r="Y722" s="402">
        <v>244914.2701425</v>
      </c>
      <c r="Z722" s="402">
        <v>245016.317755</v>
      </c>
      <c r="AA722" s="402">
        <v>1224061.5375824</v>
      </c>
    </row>
    <row r="723" spans="10:27" ht="15" customHeight="1" x14ac:dyDescent="0.25">
      <c r="J723" s="400" t="s">
        <v>336</v>
      </c>
      <c r="K723" s="408" t="s">
        <v>1711</v>
      </c>
      <c r="L723" s="402" t="s">
        <v>1712</v>
      </c>
      <c r="M723" s="402">
        <v>361811.85</v>
      </c>
      <c r="N723" s="402">
        <v>705148.44</v>
      </c>
      <c r="O723" s="402">
        <v>0</v>
      </c>
      <c r="P723" s="402">
        <v>0</v>
      </c>
      <c r="Q723" s="402">
        <v>0</v>
      </c>
      <c r="R723" s="402">
        <v>0</v>
      </c>
      <c r="S723" s="402">
        <v>0</v>
      </c>
      <c r="T723" s="402">
        <v>0</v>
      </c>
      <c r="U723" s="402">
        <v>0</v>
      </c>
      <c r="V723" s="402">
        <v>58762.37</v>
      </c>
      <c r="W723" s="402">
        <v>58762.37</v>
      </c>
      <c r="X723" s="402">
        <v>58762.37</v>
      </c>
      <c r="Y723" s="402">
        <v>58762.37</v>
      </c>
      <c r="Z723" s="402">
        <v>126762.37</v>
      </c>
      <c r="AA723" s="402">
        <v>361811.85</v>
      </c>
    </row>
    <row r="724" spans="10:27" ht="15" customHeight="1" x14ac:dyDescent="0.25">
      <c r="J724" s="400" t="s">
        <v>336</v>
      </c>
      <c r="K724" s="408" t="s">
        <v>1713</v>
      </c>
      <c r="L724" s="402" t="s">
        <v>1714</v>
      </c>
      <c r="M724" s="402">
        <v>290609.32</v>
      </c>
      <c r="N724" s="402">
        <v>260221.42</v>
      </c>
      <c r="O724" s="402">
        <v>0</v>
      </c>
      <c r="P724" s="402">
        <v>0</v>
      </c>
      <c r="Q724" s="402">
        <v>0</v>
      </c>
      <c r="R724" s="402">
        <v>0</v>
      </c>
      <c r="S724" s="402">
        <v>0</v>
      </c>
      <c r="T724" s="402">
        <v>0</v>
      </c>
      <c r="U724" s="402">
        <v>0</v>
      </c>
      <c r="V724" s="402">
        <v>61104.11</v>
      </c>
      <c r="W724" s="402">
        <v>61104.11</v>
      </c>
      <c r="X724" s="402">
        <v>61104.11</v>
      </c>
      <c r="Y724" s="402">
        <v>61104.11</v>
      </c>
      <c r="Z724" s="402">
        <v>46192.88</v>
      </c>
      <c r="AA724" s="402">
        <v>290609.32</v>
      </c>
    </row>
    <row r="725" spans="10:27" ht="15" customHeight="1" x14ac:dyDescent="0.25">
      <c r="J725" s="400" t="s">
        <v>336</v>
      </c>
      <c r="K725" s="408" t="s">
        <v>1715</v>
      </c>
      <c r="L725" s="402" t="s">
        <v>1716</v>
      </c>
      <c r="M725" s="402">
        <v>-136736</v>
      </c>
      <c r="N725" s="402">
        <v>0</v>
      </c>
      <c r="O725" s="402">
        <v>0</v>
      </c>
      <c r="P725" s="402">
        <v>0</v>
      </c>
      <c r="Q725" s="402">
        <v>0</v>
      </c>
      <c r="R725" s="402">
        <v>0</v>
      </c>
      <c r="S725" s="402">
        <v>0</v>
      </c>
      <c r="T725" s="402">
        <v>0</v>
      </c>
      <c r="U725" s="402">
        <v>0</v>
      </c>
      <c r="V725" s="402">
        <v>-23797</v>
      </c>
      <c r="W725" s="402">
        <v>-26848</v>
      </c>
      <c r="X725" s="402">
        <v>-28893</v>
      </c>
      <c r="Y725" s="402">
        <v>-29154</v>
      </c>
      <c r="Z725" s="402">
        <v>-28044</v>
      </c>
      <c r="AA725" s="402">
        <v>-136736</v>
      </c>
    </row>
    <row r="726" spans="10:27" ht="15" customHeight="1" x14ac:dyDescent="0.25">
      <c r="J726" s="400" t="s">
        <v>336</v>
      </c>
      <c r="K726" s="408" t="s">
        <v>1717</v>
      </c>
      <c r="L726" s="402" t="s">
        <v>1718</v>
      </c>
      <c r="M726" s="402">
        <v>-181479</v>
      </c>
      <c r="N726" s="402">
        <v>0</v>
      </c>
      <c r="O726" s="402">
        <v>0</v>
      </c>
      <c r="P726" s="402">
        <v>0</v>
      </c>
      <c r="Q726" s="402">
        <v>0</v>
      </c>
      <c r="R726" s="402">
        <v>0</v>
      </c>
      <c r="S726" s="402">
        <v>0</v>
      </c>
      <c r="T726" s="402">
        <v>0</v>
      </c>
      <c r="U726" s="402">
        <v>0</v>
      </c>
      <c r="V726" s="402">
        <v>-36301</v>
      </c>
      <c r="W726" s="402">
        <v>-36370</v>
      </c>
      <c r="X726" s="402">
        <v>-37015</v>
      </c>
      <c r="Y726" s="402">
        <v>-36600</v>
      </c>
      <c r="Z726" s="402">
        <v>-35193</v>
      </c>
      <c r="AA726" s="402">
        <v>-181479</v>
      </c>
    </row>
    <row r="727" spans="10:27" ht="15" customHeight="1" x14ac:dyDescent="0.25">
      <c r="J727" s="400" t="s">
        <v>336</v>
      </c>
      <c r="K727" s="408" t="s">
        <v>1719</v>
      </c>
      <c r="L727" s="402" t="s">
        <v>1720</v>
      </c>
      <c r="M727" s="402">
        <v>-72205</v>
      </c>
      <c r="N727" s="402">
        <v>0</v>
      </c>
      <c r="O727" s="402">
        <v>0</v>
      </c>
      <c r="P727" s="402">
        <v>0</v>
      </c>
      <c r="Q727" s="402">
        <v>0</v>
      </c>
      <c r="R727" s="402">
        <v>0</v>
      </c>
      <c r="S727" s="402">
        <v>0</v>
      </c>
      <c r="T727" s="402">
        <v>0</v>
      </c>
      <c r="U727" s="402">
        <v>0</v>
      </c>
      <c r="V727" s="402">
        <v>-22836</v>
      </c>
      <c r="W727" s="402">
        <v>-21126</v>
      </c>
      <c r="X727" s="402">
        <v>-18307</v>
      </c>
      <c r="Y727" s="402">
        <v>-9936</v>
      </c>
      <c r="Z727" s="402">
        <v>0</v>
      </c>
      <c r="AA727" s="402">
        <v>-72205</v>
      </c>
    </row>
    <row r="728" spans="10:27" ht="15" customHeight="1" x14ac:dyDescent="0.25">
      <c r="J728" s="400" t="s">
        <v>336</v>
      </c>
      <c r="K728" s="408" t="s">
        <v>1721</v>
      </c>
      <c r="L728" s="402" t="s">
        <v>1722</v>
      </c>
      <c r="M728" s="402">
        <v>36102.449999999997</v>
      </c>
      <c r="N728" s="402">
        <v>0</v>
      </c>
      <c r="O728" s="402">
        <v>4227.92</v>
      </c>
      <c r="P728" s="402">
        <v>4213.1899999999996</v>
      </c>
      <c r="Q728" s="402">
        <v>5647.49</v>
      </c>
      <c r="R728" s="402">
        <v>5588.92</v>
      </c>
      <c r="S728" s="402">
        <v>5532.37</v>
      </c>
      <c r="T728" s="402">
        <v>5475</v>
      </c>
      <c r="U728" s="402">
        <v>5417.56</v>
      </c>
      <c r="V728" s="402">
        <v>0</v>
      </c>
      <c r="W728" s="402">
        <v>0</v>
      </c>
      <c r="X728" s="402">
        <v>0</v>
      </c>
      <c r="Y728" s="402">
        <v>0</v>
      </c>
      <c r="Z728" s="402">
        <v>0</v>
      </c>
      <c r="AA728" s="402">
        <v>36102.449999999997</v>
      </c>
    </row>
    <row r="729" spans="10:27" ht="15" customHeight="1" x14ac:dyDescent="0.25">
      <c r="J729" s="400" t="s">
        <v>336</v>
      </c>
      <c r="K729" s="408" t="s">
        <v>1723</v>
      </c>
      <c r="L729" s="402" t="s">
        <v>1724</v>
      </c>
      <c r="M729" s="402">
        <v>26223.262187699998</v>
      </c>
      <c r="N729" s="402">
        <v>48432.73</v>
      </c>
      <c r="O729" s="402">
        <v>0</v>
      </c>
      <c r="P729" s="402">
        <v>0</v>
      </c>
      <c r="Q729" s="402">
        <v>0</v>
      </c>
      <c r="R729" s="402">
        <v>0</v>
      </c>
      <c r="S729" s="402">
        <v>0</v>
      </c>
      <c r="T729" s="402">
        <v>0</v>
      </c>
      <c r="U729" s="402">
        <v>0</v>
      </c>
      <c r="V729" s="402">
        <v>5360.0302565000002</v>
      </c>
      <c r="W729" s="402">
        <v>5302.4225243999999</v>
      </c>
      <c r="X729" s="402">
        <v>5244.7336721000001</v>
      </c>
      <c r="Y729" s="402">
        <v>5186.9635852000001</v>
      </c>
      <c r="Z729" s="402">
        <v>5129.1121494999998</v>
      </c>
      <c r="AA729" s="402">
        <v>26223.262187699998</v>
      </c>
    </row>
    <row r="730" spans="10:27" ht="15" customHeight="1" x14ac:dyDescent="0.25">
      <c r="J730" s="400" t="s">
        <v>336</v>
      </c>
      <c r="K730" s="408" t="s">
        <v>1725</v>
      </c>
      <c r="L730" s="402" t="s">
        <v>1726</v>
      </c>
      <c r="M730" s="402">
        <v>-75311.89</v>
      </c>
      <c r="N730" s="402">
        <v>-49158.58</v>
      </c>
      <c r="O730" s="402">
        <v>-7848.89</v>
      </c>
      <c r="P730" s="402">
        <v>-8286.15</v>
      </c>
      <c r="Q730" s="402">
        <v>-8985.1</v>
      </c>
      <c r="R730" s="402">
        <v>-10791.81</v>
      </c>
      <c r="S730" s="402">
        <v>-12545.22</v>
      </c>
      <c r="T730" s="402">
        <v>-12941.72</v>
      </c>
      <c r="U730" s="402">
        <v>-13913</v>
      </c>
      <c r="V730" s="402">
        <v>0</v>
      </c>
      <c r="W730" s="402">
        <v>0</v>
      </c>
      <c r="X730" s="402">
        <v>0</v>
      </c>
      <c r="Y730" s="402">
        <v>0</v>
      </c>
      <c r="Z730" s="402">
        <v>0</v>
      </c>
      <c r="AA730" s="402">
        <v>-75311.89</v>
      </c>
    </row>
    <row r="731" spans="10:27" ht="15" customHeight="1" x14ac:dyDescent="0.25">
      <c r="J731" s="400" t="s">
        <v>336</v>
      </c>
      <c r="K731" s="408" t="s">
        <v>1727</v>
      </c>
      <c r="L731" s="402" t="s">
        <v>1728</v>
      </c>
      <c r="M731" s="402">
        <v>-72228.11</v>
      </c>
      <c r="N731" s="402">
        <v>0</v>
      </c>
      <c r="O731" s="402">
        <v>0</v>
      </c>
      <c r="P731" s="402">
        <v>0</v>
      </c>
      <c r="Q731" s="402">
        <v>0</v>
      </c>
      <c r="R731" s="402">
        <v>0</v>
      </c>
      <c r="S731" s="402">
        <v>0</v>
      </c>
      <c r="T731" s="402">
        <v>0</v>
      </c>
      <c r="U731" s="402">
        <v>0</v>
      </c>
      <c r="V731" s="402">
        <v>-15004.48</v>
      </c>
      <c r="W731" s="402">
        <v>-14690.37</v>
      </c>
      <c r="X731" s="402">
        <v>-14483.79</v>
      </c>
      <c r="Y731" s="402">
        <v>-14309.45</v>
      </c>
      <c r="Z731" s="402">
        <v>-13740.02</v>
      </c>
      <c r="AA731" s="402">
        <v>-72228.11</v>
      </c>
    </row>
    <row r="732" spans="10:27" ht="15" customHeight="1" x14ac:dyDescent="0.2">
      <c r="J732" s="392" t="s">
        <v>336</v>
      </c>
      <c r="K732" s="396" t="s">
        <v>1729</v>
      </c>
      <c r="L732" s="392" t="s">
        <v>1730</v>
      </c>
      <c r="M732" s="393">
        <v>-6229409.5</v>
      </c>
      <c r="N732" s="393">
        <v>-5904379.54</v>
      </c>
      <c r="O732" s="393">
        <v>-324591.24</v>
      </c>
      <c r="P732" s="393">
        <v>-346051.99</v>
      </c>
      <c r="Q732" s="393">
        <v>-370927.38</v>
      </c>
      <c r="R732" s="393">
        <v>-411377.17</v>
      </c>
      <c r="S732" s="393">
        <v>-449138.58</v>
      </c>
      <c r="T732" s="393">
        <v>-492707.55</v>
      </c>
      <c r="U732" s="393">
        <v>-545254.56999999995</v>
      </c>
      <c r="V732" s="393">
        <v>-597839.44999999995</v>
      </c>
      <c r="W732" s="393">
        <v>-643683.78</v>
      </c>
      <c r="X732" s="393">
        <v>-695801.3</v>
      </c>
      <c r="Y732" s="393">
        <v>-745671.17</v>
      </c>
      <c r="Z732" s="393">
        <v>-606365.31999999995</v>
      </c>
      <c r="AA732" s="393">
        <v>-6229409.5</v>
      </c>
    </row>
    <row r="733" spans="10:27" ht="15" customHeight="1" x14ac:dyDescent="0.25">
      <c r="J733" s="400" t="s">
        <v>336</v>
      </c>
      <c r="K733" s="409" t="s">
        <v>1731</v>
      </c>
      <c r="L733" s="402" t="s">
        <v>1732</v>
      </c>
      <c r="M733" s="402">
        <v>-6229409.5</v>
      </c>
      <c r="N733" s="402">
        <v>-5904379.54</v>
      </c>
      <c r="O733" s="402">
        <v>-324591.24</v>
      </c>
      <c r="P733" s="402">
        <v>-346051.99</v>
      </c>
      <c r="Q733" s="402">
        <v>-370927.38</v>
      </c>
      <c r="R733" s="402">
        <v>-411377.17</v>
      </c>
      <c r="S733" s="402">
        <v>-449138.58</v>
      </c>
      <c r="T733" s="402">
        <v>-492707.55</v>
      </c>
      <c r="U733" s="402">
        <v>-545254.56999999995</v>
      </c>
      <c r="V733" s="402">
        <v>-597839.44999999995</v>
      </c>
      <c r="W733" s="402">
        <v>-643683.78</v>
      </c>
      <c r="X733" s="402">
        <v>-695801.3</v>
      </c>
      <c r="Y733" s="402">
        <v>-745671.17</v>
      </c>
      <c r="Z733" s="402">
        <v>-606365.31999999995</v>
      </c>
      <c r="AA733" s="402">
        <v>-6229409.5</v>
      </c>
    </row>
    <row r="734" spans="10:27" ht="15" customHeight="1" x14ac:dyDescent="0.2">
      <c r="J734" s="392" t="s">
        <v>336</v>
      </c>
      <c r="K734" s="395" t="s">
        <v>1733</v>
      </c>
      <c r="L734" s="392" t="s">
        <v>1734</v>
      </c>
      <c r="M734" s="393">
        <v>90768017.430000007</v>
      </c>
      <c r="N734" s="393">
        <v>119441067.21589839</v>
      </c>
      <c r="O734" s="393">
        <v>6241190.6100000003</v>
      </c>
      <c r="P734" s="393">
        <v>2565299.2000000002</v>
      </c>
      <c r="Q734" s="393">
        <v>6411793.7800000003</v>
      </c>
      <c r="R734" s="393">
        <v>5867857.9699999997</v>
      </c>
      <c r="S734" s="393">
        <v>8897810.0800000001</v>
      </c>
      <c r="T734" s="393">
        <v>8618988.4299999997</v>
      </c>
      <c r="U734" s="393">
        <v>13622813.42</v>
      </c>
      <c r="V734" s="393">
        <v>15284208.67</v>
      </c>
      <c r="W734" s="393">
        <v>5155333.41</v>
      </c>
      <c r="X734" s="393">
        <v>9514847.6300000008</v>
      </c>
      <c r="Y734" s="393">
        <v>3363573.82</v>
      </c>
      <c r="Z734" s="393">
        <v>5224300.41</v>
      </c>
      <c r="AA734" s="393">
        <v>90768017.430000007</v>
      </c>
    </row>
    <row r="735" spans="10:27" ht="15" customHeight="1" x14ac:dyDescent="0.2">
      <c r="J735" s="392" t="s">
        <v>336</v>
      </c>
      <c r="K735" s="396" t="s">
        <v>1735</v>
      </c>
      <c r="L735" s="392" t="s">
        <v>1736</v>
      </c>
      <c r="M735" s="393">
        <v>120571706.68000001</v>
      </c>
      <c r="N735" s="393">
        <v>94504367.055898398</v>
      </c>
      <c r="O735" s="393">
        <v>4429525.1500000004</v>
      </c>
      <c r="P735" s="393">
        <v>4259820.3099999996</v>
      </c>
      <c r="Q735" s="393">
        <v>-7297390.8099999996</v>
      </c>
      <c r="R735" s="393">
        <v>11460286.119999999</v>
      </c>
      <c r="S735" s="393">
        <v>17610775.18</v>
      </c>
      <c r="T735" s="393">
        <v>11088657.380000001</v>
      </c>
      <c r="U735" s="393">
        <v>24452684.850000001</v>
      </c>
      <c r="V735" s="393">
        <v>24242058.18</v>
      </c>
      <c r="W735" s="393">
        <v>8193243.6399999997</v>
      </c>
      <c r="X735" s="393">
        <v>18613878.359999999</v>
      </c>
      <c r="Y735" s="393">
        <v>9406131.9499999993</v>
      </c>
      <c r="Z735" s="393">
        <v>-5887963.6299999999</v>
      </c>
      <c r="AA735" s="393">
        <v>120571706.68000001</v>
      </c>
    </row>
    <row r="736" spans="10:27" ht="15" customHeight="1" x14ac:dyDescent="0.25">
      <c r="J736" s="400" t="s">
        <v>336</v>
      </c>
      <c r="K736" s="409" t="s">
        <v>1737</v>
      </c>
      <c r="L736" s="402" t="s">
        <v>1738</v>
      </c>
      <c r="M736" s="402">
        <v>1467880.37</v>
      </c>
      <c r="N736" s="402">
        <v>713606.35</v>
      </c>
      <c r="O736" s="402">
        <v>97097.56</v>
      </c>
      <c r="P736" s="402">
        <v>104352.74</v>
      </c>
      <c r="Q736" s="402">
        <v>120325</v>
      </c>
      <c r="R736" s="402">
        <v>105385.06</v>
      </c>
      <c r="S736" s="402">
        <v>81035.98</v>
      </c>
      <c r="T736" s="402">
        <v>138440.53</v>
      </c>
      <c r="U736" s="402">
        <v>89366.51</v>
      </c>
      <c r="V736" s="402">
        <v>173055.02</v>
      </c>
      <c r="W736" s="402">
        <v>189923.26</v>
      </c>
      <c r="X736" s="402">
        <v>107129.93</v>
      </c>
      <c r="Y736" s="402">
        <v>144716.35</v>
      </c>
      <c r="Z736" s="402">
        <v>117052.43</v>
      </c>
      <c r="AA736" s="402">
        <v>1467880.37</v>
      </c>
    </row>
    <row r="737" spans="10:27" ht="15" customHeight="1" x14ac:dyDescent="0.25">
      <c r="J737" s="400" t="s">
        <v>336</v>
      </c>
      <c r="K737" s="409" t="s">
        <v>1739</v>
      </c>
      <c r="L737" s="402" t="s">
        <v>1740</v>
      </c>
      <c r="M737" s="402">
        <v>92128273.540000007</v>
      </c>
      <c r="N737" s="402">
        <v>72555298.392508</v>
      </c>
      <c r="O737" s="402">
        <v>3638479.34</v>
      </c>
      <c r="P737" s="402">
        <v>3498348.08</v>
      </c>
      <c r="Q737" s="402">
        <v>-6066855.7599999998</v>
      </c>
      <c r="R737" s="402">
        <v>9135241.1899999995</v>
      </c>
      <c r="S737" s="402">
        <v>13975390.439999999</v>
      </c>
      <c r="T737" s="402">
        <v>7788770.3300000001</v>
      </c>
      <c r="U737" s="402">
        <v>19324235.100000001</v>
      </c>
      <c r="V737" s="402">
        <v>19075627.039999999</v>
      </c>
      <c r="W737" s="402">
        <v>5244722.72</v>
      </c>
      <c r="X737" s="402">
        <v>14734717.310000001</v>
      </c>
      <c r="Y737" s="402">
        <v>7487514.4800000004</v>
      </c>
      <c r="Z737" s="402">
        <v>-5707916.7300000004</v>
      </c>
      <c r="AA737" s="402">
        <v>92128273.540000007</v>
      </c>
    </row>
    <row r="738" spans="10:27" ht="15" customHeight="1" x14ac:dyDescent="0.25">
      <c r="J738" s="400" t="s">
        <v>336</v>
      </c>
      <c r="K738" s="409" t="s">
        <v>1741</v>
      </c>
      <c r="L738" s="402" t="s">
        <v>1742</v>
      </c>
      <c r="M738" s="402">
        <v>406819.96</v>
      </c>
      <c r="N738" s="402">
        <v>511164.81339040003</v>
      </c>
      <c r="O738" s="402">
        <v>26910.38</v>
      </c>
      <c r="P738" s="402">
        <v>28921.15</v>
      </c>
      <c r="Q738" s="402">
        <v>33347.82</v>
      </c>
      <c r="R738" s="402">
        <v>29207.24</v>
      </c>
      <c r="S738" s="402">
        <v>22458.95</v>
      </c>
      <c r="T738" s="402">
        <v>38368.51</v>
      </c>
      <c r="U738" s="402">
        <v>24767.74</v>
      </c>
      <c r="V738" s="402">
        <v>47961.83</v>
      </c>
      <c r="W738" s="402">
        <v>52636.84</v>
      </c>
      <c r="X738" s="402">
        <v>29690.83</v>
      </c>
      <c r="Y738" s="402">
        <v>40107.83</v>
      </c>
      <c r="Z738" s="402">
        <v>32440.84</v>
      </c>
      <c r="AA738" s="402">
        <v>406819.96</v>
      </c>
    </row>
    <row r="739" spans="10:27" ht="15" customHeight="1" x14ac:dyDescent="0.25">
      <c r="J739" s="400" t="s">
        <v>336</v>
      </c>
      <c r="K739" s="409" t="s">
        <v>1743</v>
      </c>
      <c r="L739" s="402" t="s">
        <v>1744</v>
      </c>
      <c r="M739" s="402">
        <v>26568732.809999999</v>
      </c>
      <c r="N739" s="402">
        <v>20724297.5</v>
      </c>
      <c r="O739" s="402">
        <v>667037.87</v>
      </c>
      <c r="P739" s="402">
        <v>628198.34</v>
      </c>
      <c r="Q739" s="402">
        <v>-1384207.87</v>
      </c>
      <c r="R739" s="402">
        <v>2190452.63</v>
      </c>
      <c r="S739" s="402">
        <v>3531889.81</v>
      </c>
      <c r="T739" s="402">
        <v>3123078.01</v>
      </c>
      <c r="U739" s="402">
        <v>5014315.5</v>
      </c>
      <c r="V739" s="402">
        <v>4945414.29</v>
      </c>
      <c r="W739" s="402">
        <v>2705960.82</v>
      </c>
      <c r="X739" s="402">
        <v>3742340.29</v>
      </c>
      <c r="Y739" s="402">
        <v>1733793.29</v>
      </c>
      <c r="Z739" s="402">
        <v>-329540.17</v>
      </c>
      <c r="AA739" s="402">
        <v>26568732.809999999</v>
      </c>
    </row>
    <row r="740" spans="10:27" ht="15" customHeight="1" x14ac:dyDescent="0.2">
      <c r="J740" s="392" t="s">
        <v>336</v>
      </c>
      <c r="K740" s="396" t="s">
        <v>1745</v>
      </c>
      <c r="L740" s="392" t="s">
        <v>1746</v>
      </c>
      <c r="M740" s="393">
        <v>-23342947.510000002</v>
      </c>
      <c r="N740" s="393">
        <v>-64994709.219999999</v>
      </c>
      <c r="O740" s="393">
        <v>2356529.59</v>
      </c>
      <c r="P740" s="393">
        <v>-1149656.94</v>
      </c>
      <c r="Q740" s="393">
        <v>13172222.109999999</v>
      </c>
      <c r="R740" s="393">
        <v>-4691157.49</v>
      </c>
      <c r="S740" s="393">
        <v>-8036369.5199999996</v>
      </c>
      <c r="T740" s="393">
        <v>-1829196.95</v>
      </c>
      <c r="U740" s="393">
        <v>-10160110.880000001</v>
      </c>
      <c r="V740" s="393">
        <v>-8290919.21</v>
      </c>
      <c r="W740" s="393">
        <v>-2368620.92</v>
      </c>
      <c r="X740" s="393">
        <v>-8429741.5</v>
      </c>
      <c r="Y740" s="393">
        <v>-5373268.8300000001</v>
      </c>
      <c r="Z740" s="393">
        <v>11457343.029999999</v>
      </c>
      <c r="AA740" s="393">
        <v>-23342947.510000002</v>
      </c>
    </row>
    <row r="741" spans="10:27" ht="15" customHeight="1" x14ac:dyDescent="0.25">
      <c r="J741" s="400" t="s">
        <v>336</v>
      </c>
      <c r="K741" s="409" t="s">
        <v>1747</v>
      </c>
      <c r="L741" s="402" t="s">
        <v>1748</v>
      </c>
      <c r="M741" s="402">
        <v>171982714.47999999</v>
      </c>
      <c r="N741" s="402">
        <v>171449310.72999999</v>
      </c>
      <c r="O741" s="402">
        <v>9452513.6199999992</v>
      </c>
      <c r="P741" s="402">
        <v>8733332.6999999993</v>
      </c>
      <c r="Q741" s="402">
        <v>22837625.449999999</v>
      </c>
      <c r="R741" s="402">
        <v>10544489.91</v>
      </c>
      <c r="S741" s="402">
        <v>9286822.4299999997</v>
      </c>
      <c r="T741" s="402">
        <v>21047433.98</v>
      </c>
      <c r="U741" s="402">
        <v>9968492.1600000001</v>
      </c>
      <c r="V741" s="402">
        <v>12267321.710000001</v>
      </c>
      <c r="W741" s="402">
        <v>21339320.210000001</v>
      </c>
      <c r="X741" s="402">
        <v>10224174.26</v>
      </c>
      <c r="Y741" s="402">
        <v>10034634.140000001</v>
      </c>
      <c r="Z741" s="402">
        <v>26246553.91</v>
      </c>
      <c r="AA741" s="402">
        <v>171982714.47999999</v>
      </c>
    </row>
    <row r="742" spans="10:27" ht="15" customHeight="1" x14ac:dyDescent="0.25">
      <c r="J742" s="400" t="s">
        <v>336</v>
      </c>
      <c r="K742" s="409" t="s">
        <v>1749</v>
      </c>
      <c r="L742" s="402" t="s">
        <v>1750</v>
      </c>
      <c r="M742" s="402">
        <v>15346.14</v>
      </c>
      <c r="N742" s="402">
        <v>0</v>
      </c>
      <c r="O742" s="402">
        <v>33.619999999999997</v>
      </c>
      <c r="P742" s="402">
        <v>4576.5</v>
      </c>
      <c r="Q742" s="402">
        <v>413.34</v>
      </c>
      <c r="R742" s="402">
        <v>6793.01</v>
      </c>
      <c r="S742" s="402">
        <v>200.9</v>
      </c>
      <c r="T742" s="402">
        <v>466.16</v>
      </c>
      <c r="U742" s="402">
        <v>2862.61</v>
      </c>
      <c r="V742" s="402">
        <v>0</v>
      </c>
      <c r="W742" s="402">
        <v>0</v>
      </c>
      <c r="X742" s="402">
        <v>0</v>
      </c>
      <c r="Y742" s="402">
        <v>0</v>
      </c>
      <c r="Z742" s="402">
        <v>0</v>
      </c>
      <c r="AA742" s="402">
        <v>15346.14</v>
      </c>
    </row>
    <row r="743" spans="10:27" ht="15" customHeight="1" x14ac:dyDescent="0.25">
      <c r="J743" s="400" t="s">
        <v>336</v>
      </c>
      <c r="K743" s="409" t="s">
        <v>1751</v>
      </c>
      <c r="L743" s="402" t="s">
        <v>1752</v>
      </c>
      <c r="M743" s="402">
        <v>-199946520.16999999</v>
      </c>
      <c r="N743" s="402">
        <v>-248811934.81</v>
      </c>
      <c r="O743" s="402">
        <v>-8551293.1799999997</v>
      </c>
      <c r="P743" s="402">
        <v>-10585041.539999999</v>
      </c>
      <c r="Q743" s="402">
        <v>-12778218.960000001</v>
      </c>
      <c r="R743" s="402">
        <v>-15272910.98</v>
      </c>
      <c r="S743" s="402">
        <v>-16682462.02</v>
      </c>
      <c r="T743" s="402">
        <v>-23107474.920000002</v>
      </c>
      <c r="U743" s="402">
        <v>-18981563</v>
      </c>
      <c r="V743" s="402">
        <v>-19902031.449999999</v>
      </c>
      <c r="W743" s="402">
        <v>-24264832.309999999</v>
      </c>
      <c r="X743" s="402">
        <v>-17968989.23</v>
      </c>
      <c r="Y743" s="402">
        <v>-15386247.289999999</v>
      </c>
      <c r="Z743" s="402">
        <v>-16465455.289999999</v>
      </c>
      <c r="AA743" s="402">
        <v>-199946520.16999999</v>
      </c>
    </row>
    <row r="744" spans="10:27" ht="15" customHeight="1" x14ac:dyDescent="0.25">
      <c r="J744" s="400" t="s">
        <v>336</v>
      </c>
      <c r="K744" s="409" t="s">
        <v>1753</v>
      </c>
      <c r="L744" s="402" t="s">
        <v>1754</v>
      </c>
      <c r="M744" s="402">
        <v>-17395.849999999999</v>
      </c>
      <c r="N744" s="402">
        <v>0</v>
      </c>
      <c r="O744" s="402">
        <v>-611.24</v>
      </c>
      <c r="P744" s="402">
        <v>-251.71</v>
      </c>
      <c r="Q744" s="402">
        <v>-7515.2</v>
      </c>
      <c r="R744" s="402">
        <v>-373.62</v>
      </c>
      <c r="S744" s="402">
        <v>-11.05</v>
      </c>
      <c r="T744" s="402">
        <v>-8475.59</v>
      </c>
      <c r="U744" s="402">
        <v>-157.44</v>
      </c>
      <c r="V744" s="402">
        <v>0</v>
      </c>
      <c r="W744" s="402">
        <v>0</v>
      </c>
      <c r="X744" s="402">
        <v>0</v>
      </c>
      <c r="Y744" s="402">
        <v>0</v>
      </c>
      <c r="Z744" s="402">
        <v>0</v>
      </c>
      <c r="AA744" s="402">
        <v>-17395.849999999999</v>
      </c>
    </row>
    <row r="745" spans="10:27" ht="15" customHeight="1" x14ac:dyDescent="0.25">
      <c r="J745" s="400" t="s">
        <v>336</v>
      </c>
      <c r="K745" s="409" t="s">
        <v>1755</v>
      </c>
      <c r="L745" s="402" t="s">
        <v>1756</v>
      </c>
      <c r="M745" s="402">
        <v>1087352.06</v>
      </c>
      <c r="N745" s="402">
        <v>1022174.75</v>
      </c>
      <c r="O745" s="402">
        <v>85181.23</v>
      </c>
      <c r="P745" s="402">
        <v>79112.160000000003</v>
      </c>
      <c r="Q745" s="402">
        <v>84199.27</v>
      </c>
      <c r="R745" s="402">
        <v>82830.92</v>
      </c>
      <c r="S745" s="402">
        <v>82830.91</v>
      </c>
      <c r="T745" s="402">
        <v>128847.78</v>
      </c>
      <c r="U745" s="402">
        <v>90500.4</v>
      </c>
      <c r="V745" s="402">
        <v>91398.7</v>
      </c>
      <c r="W745" s="402">
        <v>90612.67</v>
      </c>
      <c r="X745" s="402">
        <v>90612.67</v>
      </c>
      <c r="Y745" s="402">
        <v>90612.67</v>
      </c>
      <c r="Z745" s="402">
        <v>90612.68</v>
      </c>
      <c r="AA745" s="402">
        <v>1087352.06</v>
      </c>
    </row>
    <row r="746" spans="10:27" ht="15" customHeight="1" x14ac:dyDescent="0.25">
      <c r="J746" s="400" t="s">
        <v>336</v>
      </c>
      <c r="K746" s="409" t="s">
        <v>1757</v>
      </c>
      <c r="L746" s="402" t="s">
        <v>1758</v>
      </c>
      <c r="M746" s="402">
        <v>-59804.36</v>
      </c>
      <c r="N746" s="402">
        <v>-56219.61</v>
      </c>
      <c r="O746" s="402">
        <v>-4684.97</v>
      </c>
      <c r="P746" s="402">
        <v>-4351.17</v>
      </c>
      <c r="Q746" s="402">
        <v>-4630.96</v>
      </c>
      <c r="R746" s="402">
        <v>-4555.7</v>
      </c>
      <c r="S746" s="402">
        <v>-4555.7</v>
      </c>
      <c r="T746" s="402">
        <v>-7086.63</v>
      </c>
      <c r="U746" s="402">
        <v>-4977.5200000000004</v>
      </c>
      <c r="V746" s="402">
        <v>-5026.93</v>
      </c>
      <c r="W746" s="402">
        <v>-4983.6899999999996</v>
      </c>
      <c r="X746" s="402">
        <v>-4983.7</v>
      </c>
      <c r="Y746" s="402">
        <v>-4983.7</v>
      </c>
      <c r="Z746" s="402">
        <v>-4983.6899999999996</v>
      </c>
      <c r="AA746" s="402">
        <v>-59804.36</v>
      </c>
    </row>
    <row r="747" spans="10:27" ht="15" customHeight="1" x14ac:dyDescent="0.25">
      <c r="J747" s="400" t="s">
        <v>336</v>
      </c>
      <c r="K747" s="409" t="s">
        <v>1759</v>
      </c>
      <c r="L747" s="402" t="s">
        <v>1760</v>
      </c>
      <c r="M747" s="402">
        <v>42793888.43</v>
      </c>
      <c r="N747" s="402">
        <v>44303521.100000001</v>
      </c>
      <c r="O747" s="402">
        <v>2977208.66</v>
      </c>
      <c r="P747" s="402">
        <v>2702215.37</v>
      </c>
      <c r="Q747" s="402">
        <v>5117553.17</v>
      </c>
      <c r="R747" s="402">
        <v>3145898.31</v>
      </c>
      <c r="S747" s="402">
        <v>2798979.72</v>
      </c>
      <c r="T747" s="402">
        <v>4581443.7699999996</v>
      </c>
      <c r="U747" s="402">
        <v>2939421.88</v>
      </c>
      <c r="V747" s="402">
        <v>3532061.92</v>
      </c>
      <c r="W747" s="402">
        <v>4421037</v>
      </c>
      <c r="X747" s="402">
        <v>3030185.5</v>
      </c>
      <c r="Y747" s="402">
        <v>3015133.02</v>
      </c>
      <c r="Z747" s="402">
        <v>4532750.1100000003</v>
      </c>
      <c r="AA747" s="402">
        <v>42793888.43</v>
      </c>
    </row>
    <row r="748" spans="10:27" ht="15" customHeight="1" x14ac:dyDescent="0.25">
      <c r="J748" s="400" t="s">
        <v>336</v>
      </c>
      <c r="K748" s="409" t="s">
        <v>1761</v>
      </c>
      <c r="L748" s="402" t="s">
        <v>1762</v>
      </c>
      <c r="M748" s="402">
        <v>3780.08</v>
      </c>
      <c r="N748" s="402">
        <v>0</v>
      </c>
      <c r="O748" s="402">
        <v>0</v>
      </c>
      <c r="P748" s="402">
        <v>1198.6099999999999</v>
      </c>
      <c r="Q748" s="402">
        <v>0</v>
      </c>
      <c r="R748" s="402">
        <v>1779.12</v>
      </c>
      <c r="S748" s="402">
        <v>52.62</v>
      </c>
      <c r="T748" s="402">
        <v>0</v>
      </c>
      <c r="U748" s="402">
        <v>749.73</v>
      </c>
      <c r="V748" s="402">
        <v>0</v>
      </c>
      <c r="W748" s="402">
        <v>0</v>
      </c>
      <c r="X748" s="402">
        <v>0</v>
      </c>
      <c r="Y748" s="402">
        <v>0</v>
      </c>
      <c r="Z748" s="402">
        <v>0</v>
      </c>
      <c r="AA748" s="402">
        <v>3780.08</v>
      </c>
    </row>
    <row r="749" spans="10:27" ht="15" customHeight="1" x14ac:dyDescent="0.25">
      <c r="J749" s="400" t="s">
        <v>336</v>
      </c>
      <c r="K749" s="409" t="s">
        <v>1763</v>
      </c>
      <c r="L749" s="402" t="s">
        <v>1764</v>
      </c>
      <c r="M749" s="402">
        <v>-39519221.759999998</v>
      </c>
      <c r="N749" s="402">
        <v>-33205752.73</v>
      </c>
      <c r="O749" s="402">
        <v>-1627007.34</v>
      </c>
      <c r="P749" s="402">
        <v>-2104207.62</v>
      </c>
      <c r="Q749" s="402">
        <v>-2100327.83</v>
      </c>
      <c r="R749" s="402">
        <v>-3219842.18</v>
      </c>
      <c r="S749" s="402">
        <v>-3542961.05</v>
      </c>
      <c r="T749" s="402">
        <v>-4498917.46</v>
      </c>
      <c r="U749" s="402">
        <v>-4202182.09</v>
      </c>
      <c r="V749" s="402">
        <v>-4301620.83</v>
      </c>
      <c r="W749" s="402">
        <v>-3976546.6</v>
      </c>
      <c r="X749" s="402">
        <v>-3827512.8</v>
      </c>
      <c r="Y749" s="402">
        <v>-3149189.47</v>
      </c>
      <c r="Z749" s="402">
        <v>-2968906.49</v>
      </c>
      <c r="AA749" s="402">
        <v>-39519221.759999998</v>
      </c>
    </row>
    <row r="750" spans="10:27" ht="15" customHeight="1" x14ac:dyDescent="0.25">
      <c r="J750" s="400" t="s">
        <v>336</v>
      </c>
      <c r="K750" s="409" t="s">
        <v>1765</v>
      </c>
      <c r="L750" s="402" t="s">
        <v>1766</v>
      </c>
      <c r="M750" s="402">
        <v>-4348.16</v>
      </c>
      <c r="N750" s="402">
        <v>0</v>
      </c>
      <c r="O750" s="402">
        <v>-160.09</v>
      </c>
      <c r="P750" s="402">
        <v>0</v>
      </c>
      <c r="Q750" s="402">
        <v>-1968.27</v>
      </c>
      <c r="R750" s="402">
        <v>0</v>
      </c>
      <c r="S750" s="402">
        <v>0</v>
      </c>
      <c r="T750" s="402">
        <v>-2219.8000000000002</v>
      </c>
      <c r="U750" s="402">
        <v>0</v>
      </c>
      <c r="V750" s="402">
        <v>0</v>
      </c>
      <c r="W750" s="402">
        <v>0</v>
      </c>
      <c r="X750" s="402">
        <v>0</v>
      </c>
      <c r="Y750" s="402">
        <v>0</v>
      </c>
      <c r="Z750" s="402">
        <v>0</v>
      </c>
      <c r="AA750" s="402">
        <v>-4348.16</v>
      </c>
    </row>
    <row r="751" spans="10:27" ht="15" customHeight="1" x14ac:dyDescent="0.25">
      <c r="J751" s="400" t="s">
        <v>336</v>
      </c>
      <c r="K751" s="409" t="s">
        <v>1767</v>
      </c>
      <c r="L751" s="402" t="s">
        <v>1768</v>
      </c>
      <c r="M751" s="402">
        <v>321261.59999999998</v>
      </c>
      <c r="N751" s="402">
        <v>304191.34999999998</v>
      </c>
      <c r="O751" s="402">
        <v>25349.279999999999</v>
      </c>
      <c r="P751" s="402">
        <v>23759.759999999998</v>
      </c>
      <c r="Q751" s="402">
        <v>25092.1</v>
      </c>
      <c r="R751" s="402">
        <v>24733.72</v>
      </c>
      <c r="S751" s="402">
        <v>24733.72</v>
      </c>
      <c r="T751" s="402">
        <v>36785.760000000002</v>
      </c>
      <c r="U751" s="402">
        <v>26742.39</v>
      </c>
      <c r="V751" s="402">
        <v>26977.67</v>
      </c>
      <c r="W751" s="402">
        <v>26771.8</v>
      </c>
      <c r="X751" s="402">
        <v>26771.8</v>
      </c>
      <c r="Y751" s="402">
        <v>26771.8</v>
      </c>
      <c r="Z751" s="402">
        <v>26771.8</v>
      </c>
      <c r="AA751" s="402">
        <v>321261.59999999998</v>
      </c>
    </row>
    <row r="752" spans="10:27" ht="15" customHeight="1" x14ac:dyDescent="0.2">
      <c r="J752" s="392" t="s">
        <v>336</v>
      </c>
      <c r="K752" s="396" t="s">
        <v>1769</v>
      </c>
      <c r="L752" s="392" t="s">
        <v>1770</v>
      </c>
      <c r="M752" s="393">
        <v>-6460741.7400000002</v>
      </c>
      <c r="N752" s="393">
        <v>89931409.379999995</v>
      </c>
      <c r="O752" s="393">
        <v>-544864.13</v>
      </c>
      <c r="P752" s="393">
        <v>-544864.17000000004</v>
      </c>
      <c r="Q752" s="393">
        <v>536962.48</v>
      </c>
      <c r="R752" s="393">
        <v>-901270.66</v>
      </c>
      <c r="S752" s="393">
        <v>-676595.58</v>
      </c>
      <c r="T752" s="393">
        <v>-640472</v>
      </c>
      <c r="U752" s="393">
        <v>-669760.55000000005</v>
      </c>
      <c r="V752" s="393">
        <v>-666930.30000000005</v>
      </c>
      <c r="W752" s="393">
        <v>-669289.31000000006</v>
      </c>
      <c r="X752" s="393">
        <v>-669289.23</v>
      </c>
      <c r="Y752" s="393">
        <v>-669289.30000000005</v>
      </c>
      <c r="Z752" s="393">
        <v>-345078.99</v>
      </c>
      <c r="AA752" s="393">
        <v>-6460741.7400000002</v>
      </c>
    </row>
    <row r="753" spans="10:27" ht="15" customHeight="1" x14ac:dyDescent="0.25">
      <c r="J753" s="400" t="s">
        <v>336</v>
      </c>
      <c r="K753" s="409" t="s">
        <v>1771</v>
      </c>
      <c r="L753" s="402" t="s">
        <v>1772</v>
      </c>
      <c r="M753" s="402">
        <v>-6460724.4400000004</v>
      </c>
      <c r="N753" s="402">
        <v>89931426.680000007</v>
      </c>
      <c r="O753" s="402">
        <v>-544862.68999999994</v>
      </c>
      <c r="P753" s="402">
        <v>-544862.73</v>
      </c>
      <c r="Q753" s="402">
        <v>536963.93000000005</v>
      </c>
      <c r="R753" s="402">
        <v>-901269.22</v>
      </c>
      <c r="S753" s="402">
        <v>-676594.14</v>
      </c>
      <c r="T753" s="402">
        <v>-640470.56000000006</v>
      </c>
      <c r="U753" s="402">
        <v>-669759.11</v>
      </c>
      <c r="V753" s="402">
        <v>-666928.86</v>
      </c>
      <c r="W753" s="402">
        <v>-669287.86</v>
      </c>
      <c r="X753" s="402">
        <v>-669287.79</v>
      </c>
      <c r="Y753" s="402">
        <v>-669287.86</v>
      </c>
      <c r="Z753" s="402">
        <v>-345077.55</v>
      </c>
      <c r="AA753" s="402">
        <v>-6460724.4400000004</v>
      </c>
    </row>
    <row r="754" spans="10:27" ht="15" customHeight="1" x14ac:dyDescent="0.25">
      <c r="J754" s="400" t="s">
        <v>336</v>
      </c>
      <c r="K754" s="409" t="s">
        <v>1773</v>
      </c>
      <c r="L754" s="402" t="s">
        <v>1774</v>
      </c>
      <c r="M754" s="402">
        <v>-17.3</v>
      </c>
      <c r="N754" s="402">
        <v>-17.3</v>
      </c>
      <c r="O754" s="402">
        <v>-1.44</v>
      </c>
      <c r="P754" s="402">
        <v>-1.44</v>
      </c>
      <c r="Q754" s="402">
        <v>-1.45</v>
      </c>
      <c r="R754" s="402">
        <v>-1.44</v>
      </c>
      <c r="S754" s="402">
        <v>-1.44</v>
      </c>
      <c r="T754" s="402">
        <v>-1.44</v>
      </c>
      <c r="U754" s="402">
        <v>-1.44</v>
      </c>
      <c r="V754" s="402">
        <v>-1.44</v>
      </c>
      <c r="W754" s="402">
        <v>-1.45</v>
      </c>
      <c r="X754" s="402">
        <v>-1.44</v>
      </c>
      <c r="Y754" s="402">
        <v>-1.44</v>
      </c>
      <c r="Z754" s="402">
        <v>-1.44</v>
      </c>
      <c r="AA754" s="402">
        <v>-17.3</v>
      </c>
    </row>
  </sheetData>
  <conditionalFormatting sqref="L4:Z4 G28">
    <cfRule type="expression" dxfId="13" priority="3">
      <formula>#REF!="Y"</formula>
    </cfRule>
  </conditionalFormatting>
  <conditionalFormatting sqref="L4:Z4">
    <cfRule type="expression" dxfId="12" priority="1">
      <formula>#REF!="E"</formula>
    </cfRule>
    <cfRule type="expression" dxfId="11" priority="2">
      <formula>#REF!="Y"</formula>
    </cfRule>
  </conditionalFormatting>
  <dataValidations count="2">
    <dataValidation type="list" allowBlank="1" showInputMessage="1" showErrorMessage="1" sqref="L25" xr:uid="{502452EA-0580-4D7B-84FC-21A1B2E2672D}">
      <formula1>$I$1:$I$3</formula1>
    </dataValidation>
    <dataValidation type="list" allowBlank="1" showInputMessage="1" showErrorMessage="1" sqref="L21" xr:uid="{A6B70F49-3D8F-4204-A59E-5E27C2CE630C}">
      <formula1>$G$1:$G$5</formula1>
    </dataValidation>
  </dataValidations>
  <pageMargins left="0.7" right="0.7" top="0.75" bottom="0.75" header="0.3" footer="0.3"/>
  <customProperties>
    <customPr name="EpmWorksheetKeyString_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B869-4799-45A8-92E4-DAD3C61EBB0B}">
  <dimension ref="A1:AC754"/>
  <sheetViews>
    <sheetView topLeftCell="K20" workbookViewId="0">
      <pane ySplit="1" topLeftCell="A407" activePane="bottomLeft" state="frozen"/>
      <selection activeCell="L49" sqref="L49"/>
      <selection pane="bottomLeft" activeCell="U417" sqref="K417:U417"/>
    </sheetView>
  </sheetViews>
  <sheetFormatPr defaultColWidth="9.33203125" defaultRowHeight="15" customHeight="1" outlineLevelRow="1" outlineLevelCol="1" x14ac:dyDescent="0.2"/>
  <cols>
    <col min="1" max="1" width="15.6640625" style="324" hidden="1" customWidth="1" outlineLevel="1"/>
    <col min="2" max="2" width="20.6640625" style="324" hidden="1" customWidth="1" outlineLevel="1"/>
    <col min="3" max="4" width="15.6640625" style="324" hidden="1" customWidth="1" outlineLevel="1"/>
    <col min="5" max="5" width="18.5546875" style="324" hidden="1" customWidth="1" outlineLevel="1"/>
    <col min="6" max="6" width="12.6640625" style="324" hidden="1" customWidth="1" outlineLevel="1"/>
    <col min="7" max="7" width="19.5546875" style="324" hidden="1" customWidth="1" outlineLevel="1"/>
    <col min="8" max="8" width="23.88671875" style="324" hidden="1" customWidth="1" outlineLevel="1" collapsed="1"/>
    <col min="9" max="9" width="1.6640625" style="324" customWidth="1" collapsed="1"/>
    <col min="10" max="10" width="14.6640625" style="324" customWidth="1"/>
    <col min="11" max="11" width="46.6640625" style="324" customWidth="1"/>
    <col min="12" max="12" width="50.6640625" style="324" customWidth="1"/>
    <col min="13" max="13" width="20.33203125" style="324" hidden="1" customWidth="1"/>
    <col min="14" max="14" width="20.6640625" style="324" hidden="1" customWidth="1"/>
    <col min="15" max="27" width="20.6640625" style="324" customWidth="1"/>
    <col min="28" max="29" width="20.6640625" style="324" hidden="1" customWidth="1"/>
    <col min="30" max="37" width="20.6640625" style="324" customWidth="1"/>
    <col min="38" max="16384" width="9.33203125" style="324"/>
  </cols>
  <sheetData>
    <row r="1" spans="1:26" ht="15" hidden="1" customHeight="1" outlineLevel="1" x14ac:dyDescent="0.4">
      <c r="A1" s="319" t="s">
        <v>158</v>
      </c>
      <c r="B1" s="320" t="s">
        <v>257</v>
      </c>
      <c r="C1" s="321" t="b">
        <v>0</v>
      </c>
      <c r="D1" s="322" t="s">
        <v>159</v>
      </c>
      <c r="E1" s="323" t="s">
        <v>160</v>
      </c>
      <c r="G1" s="324" t="s">
        <v>258</v>
      </c>
      <c r="H1" s="324" t="s">
        <v>259</v>
      </c>
      <c r="I1" s="325" t="s">
        <v>162</v>
      </c>
      <c r="J1" s="326" t="s">
        <v>260</v>
      </c>
      <c r="K1" s="326"/>
      <c r="L1" s="326"/>
      <c r="M1" s="326"/>
      <c r="N1" s="327" t="s">
        <v>163</v>
      </c>
      <c r="O1" s="328" t="s">
        <v>261</v>
      </c>
      <c r="P1" s="328">
        <v>1</v>
      </c>
    </row>
    <row r="2" spans="1:26" ht="15" hidden="1" customHeight="1" outlineLevel="1" x14ac:dyDescent="0.4">
      <c r="A2" s="319" t="s">
        <v>164</v>
      </c>
      <c r="B2" s="329" t="s">
        <v>262</v>
      </c>
      <c r="D2" s="330" t="s">
        <v>165</v>
      </c>
      <c r="E2" s="323" t="s">
        <v>160</v>
      </c>
      <c r="G2" s="324" t="s">
        <v>263</v>
      </c>
      <c r="H2" s="324" t="s">
        <v>264</v>
      </c>
      <c r="I2" s="325" t="s">
        <v>167</v>
      </c>
      <c r="J2" s="326" t="s">
        <v>265</v>
      </c>
      <c r="K2" s="326"/>
      <c r="L2" s="326"/>
      <c r="M2" s="326"/>
      <c r="N2" s="327" t="s">
        <v>168</v>
      </c>
      <c r="O2" s="331" t="s">
        <v>266</v>
      </c>
      <c r="P2" s="331" t="b">
        <v>0</v>
      </c>
    </row>
    <row r="3" spans="1:26" ht="15" hidden="1" customHeight="1" outlineLevel="1" x14ac:dyDescent="0.2">
      <c r="A3" s="319" t="s">
        <v>169</v>
      </c>
      <c r="B3" s="332" t="s">
        <v>170</v>
      </c>
      <c r="D3" s="333" t="s">
        <v>171</v>
      </c>
      <c r="G3" s="324" t="s">
        <v>267</v>
      </c>
      <c r="H3" s="324" t="s">
        <v>268</v>
      </c>
      <c r="I3" s="325" t="s">
        <v>173</v>
      </c>
      <c r="J3" s="326" t="s">
        <v>269</v>
      </c>
      <c r="K3" s="334"/>
      <c r="L3" s="335"/>
      <c r="M3" s="335"/>
    </row>
    <row r="4" spans="1:26" ht="15" hidden="1" customHeight="1" outlineLevel="1" x14ac:dyDescent="0.25">
      <c r="D4" s="336" t="s">
        <v>174</v>
      </c>
      <c r="E4" s="337" t="s">
        <v>270</v>
      </c>
      <c r="F4" s="337"/>
      <c r="G4" s="324" t="s">
        <v>166</v>
      </c>
      <c r="H4" s="324" t="s">
        <v>271</v>
      </c>
      <c r="I4" s="337"/>
      <c r="J4" s="338"/>
      <c r="K4" s="339"/>
      <c r="L4" s="340"/>
      <c r="M4" s="340"/>
      <c r="N4" s="341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</row>
    <row r="5" spans="1:26" ht="15" hidden="1" customHeight="1" outlineLevel="1" x14ac:dyDescent="0.2">
      <c r="A5" s="319" t="s">
        <v>177</v>
      </c>
      <c r="B5" s="342" t="s">
        <v>178</v>
      </c>
      <c r="C5" s="343" t="s">
        <v>179</v>
      </c>
      <c r="D5" s="344"/>
      <c r="G5" s="324" t="s">
        <v>272</v>
      </c>
      <c r="H5" s="324" t="s">
        <v>271</v>
      </c>
    </row>
    <row r="6" spans="1:26" ht="15" hidden="1" customHeight="1" outlineLevel="1" x14ac:dyDescent="0.2">
      <c r="A6" s="319" t="s">
        <v>183</v>
      </c>
      <c r="B6" s="342" t="s">
        <v>184</v>
      </c>
      <c r="C6" s="343" t="s">
        <v>185</v>
      </c>
      <c r="D6" s="324" t="s">
        <v>275</v>
      </c>
      <c r="E6" s="345" t="s">
        <v>274</v>
      </c>
      <c r="F6" s="346" t="s">
        <v>275</v>
      </c>
      <c r="H6" s="326" t="s">
        <v>259</v>
      </c>
    </row>
    <row r="7" spans="1:26" ht="15" hidden="1" customHeight="1" outlineLevel="1" x14ac:dyDescent="0.3">
      <c r="A7" s="319" t="s">
        <v>186</v>
      </c>
      <c r="B7" s="347"/>
      <c r="C7" s="343" t="s">
        <v>187</v>
      </c>
      <c r="D7" s="324" t="s">
        <v>276</v>
      </c>
      <c r="E7" s="345" t="s">
        <v>277</v>
      </c>
      <c r="F7" s="346" t="s">
        <v>273</v>
      </c>
      <c r="G7" s="348" t="b">
        <v>0</v>
      </c>
      <c r="H7" s="337" t="s">
        <v>180</v>
      </c>
    </row>
    <row r="8" spans="1:26" ht="15" hidden="1" customHeight="1" outlineLevel="1" x14ac:dyDescent="0.4">
      <c r="A8" s="319" t="s">
        <v>188</v>
      </c>
      <c r="B8" s="342" t="s">
        <v>184</v>
      </c>
      <c r="C8" s="343" t="s">
        <v>185</v>
      </c>
      <c r="E8" s="345" t="s">
        <v>278</v>
      </c>
      <c r="F8" s="346" t="s">
        <v>279</v>
      </c>
      <c r="N8" s="349"/>
    </row>
    <row r="9" spans="1:26" ht="15" hidden="1" customHeight="1" outlineLevel="1" x14ac:dyDescent="0.2">
      <c r="A9" s="319" t="s">
        <v>190</v>
      </c>
      <c r="B9" s="350" t="s">
        <v>280</v>
      </c>
      <c r="C9" s="343" t="s">
        <v>212</v>
      </c>
      <c r="E9" s="345" t="s">
        <v>222</v>
      </c>
      <c r="F9" s="346" t="s">
        <v>281</v>
      </c>
      <c r="N9" s="351"/>
    </row>
    <row r="10" spans="1:26" ht="15" hidden="1" customHeight="1" outlineLevel="1" x14ac:dyDescent="0.2">
      <c r="A10" s="319" t="s">
        <v>193</v>
      </c>
      <c r="B10" s="350" t="s">
        <v>282</v>
      </c>
      <c r="C10" s="343" t="s">
        <v>187</v>
      </c>
      <c r="E10" s="345" t="s">
        <v>222</v>
      </c>
      <c r="F10" s="346" t="s">
        <v>283</v>
      </c>
      <c r="N10" s="351"/>
    </row>
    <row r="11" spans="1:26" ht="15" hidden="1" customHeight="1" outlineLevel="1" x14ac:dyDescent="0.2">
      <c r="A11" s="319" t="s">
        <v>194</v>
      </c>
      <c r="B11" s="350" t="s">
        <v>284</v>
      </c>
      <c r="C11" s="343" t="s">
        <v>187</v>
      </c>
      <c r="E11" s="345" t="s">
        <v>222</v>
      </c>
      <c r="F11" s="346" t="s">
        <v>285</v>
      </c>
      <c r="N11" s="351" t="s">
        <v>1775</v>
      </c>
      <c r="O11" s="351" t="s">
        <v>1775</v>
      </c>
      <c r="P11" s="351" t="s">
        <v>1775</v>
      </c>
      <c r="Q11" s="351" t="s">
        <v>1775</v>
      </c>
      <c r="R11" s="351" t="s">
        <v>1775</v>
      </c>
      <c r="S11" s="351" t="s">
        <v>1775</v>
      </c>
      <c r="T11" s="351" t="s">
        <v>1775</v>
      </c>
      <c r="U11" s="351" t="s">
        <v>1775</v>
      </c>
      <c r="V11" s="351" t="s">
        <v>1775</v>
      </c>
      <c r="W11" s="351" t="s">
        <v>1775</v>
      </c>
      <c r="X11" s="351" t="s">
        <v>1775</v>
      </c>
      <c r="Y11" s="351" t="s">
        <v>1775</v>
      </c>
    </row>
    <row r="12" spans="1:26" ht="15" hidden="1" customHeight="1" outlineLevel="1" x14ac:dyDescent="0.2">
      <c r="A12" s="319" t="s">
        <v>195</v>
      </c>
      <c r="B12" s="350" t="s">
        <v>289</v>
      </c>
      <c r="C12" s="343" t="s">
        <v>187</v>
      </c>
      <c r="E12" s="345" t="s">
        <v>222</v>
      </c>
      <c r="F12" s="346" t="s">
        <v>290</v>
      </c>
      <c r="N12" s="352" t="s">
        <v>197</v>
      </c>
      <c r="O12" s="352" t="s">
        <v>198</v>
      </c>
      <c r="P12" s="352" t="s">
        <v>199</v>
      </c>
      <c r="Q12" s="352" t="s">
        <v>200</v>
      </c>
      <c r="R12" s="352" t="s">
        <v>201</v>
      </c>
      <c r="S12" s="352" t="s">
        <v>202</v>
      </c>
      <c r="T12" s="352" t="s">
        <v>203</v>
      </c>
      <c r="U12" s="352" t="s">
        <v>204</v>
      </c>
      <c r="V12" s="352" t="s">
        <v>205</v>
      </c>
      <c r="W12" s="352" t="s">
        <v>206</v>
      </c>
      <c r="X12" s="352" t="s">
        <v>207</v>
      </c>
      <c r="Y12" s="352" t="s">
        <v>208</v>
      </c>
      <c r="Z12" s="352" t="s">
        <v>99</v>
      </c>
    </row>
    <row r="13" spans="1:26" ht="15" hidden="1" customHeight="1" outlineLevel="1" x14ac:dyDescent="0.2">
      <c r="A13" s="319" t="s">
        <v>192</v>
      </c>
      <c r="B13" s="342" t="s">
        <v>184</v>
      </c>
      <c r="C13" s="343" t="s">
        <v>185</v>
      </c>
      <c r="E13" s="345" t="s">
        <v>222</v>
      </c>
      <c r="F13" s="346" t="s">
        <v>291</v>
      </c>
      <c r="J13" s="353"/>
      <c r="L13" s="354" t="s">
        <v>1776</v>
      </c>
      <c r="M13" s="354" t="s">
        <v>1776</v>
      </c>
      <c r="N13" s="355" t="s">
        <v>1777</v>
      </c>
      <c r="O13" s="355" t="s">
        <v>1778</v>
      </c>
      <c r="P13" s="355" t="s">
        <v>1779</v>
      </c>
      <c r="Q13" s="355" t="s">
        <v>1780</v>
      </c>
      <c r="R13" s="355" t="s">
        <v>1781</v>
      </c>
      <c r="S13" s="355" t="s">
        <v>1782</v>
      </c>
      <c r="T13" s="355" t="s">
        <v>1783</v>
      </c>
      <c r="U13" s="355" t="s">
        <v>1784</v>
      </c>
      <c r="V13" s="355" t="s">
        <v>1785</v>
      </c>
      <c r="W13" s="355" t="s">
        <v>1786</v>
      </c>
      <c r="X13" s="355" t="s">
        <v>1787</v>
      </c>
      <c r="Y13" s="355" t="s">
        <v>1788</v>
      </c>
      <c r="Z13" s="355" t="s">
        <v>1776</v>
      </c>
    </row>
    <row r="14" spans="1:26" ht="15" hidden="1" customHeight="1" outlineLevel="1" x14ac:dyDescent="0.2">
      <c r="A14" s="356" t="s">
        <v>209</v>
      </c>
      <c r="B14" s="350" t="s">
        <v>304</v>
      </c>
      <c r="C14" s="343" t="s">
        <v>187</v>
      </c>
      <c r="D14" s="321" t="b">
        <v>0</v>
      </c>
      <c r="E14" s="345" t="s">
        <v>222</v>
      </c>
      <c r="F14" s="346" t="s">
        <v>305</v>
      </c>
      <c r="J14" s="570" t="s">
        <v>226</v>
      </c>
      <c r="L14" s="354" t="s">
        <v>279</v>
      </c>
      <c r="M14" s="354" t="s">
        <v>306</v>
      </c>
      <c r="N14" s="357" t="s">
        <v>275</v>
      </c>
      <c r="O14" s="357" t="s">
        <v>275</v>
      </c>
      <c r="P14" s="357" t="s">
        <v>275</v>
      </c>
      <c r="Q14" s="357" t="s">
        <v>275</v>
      </c>
      <c r="R14" s="357" t="s">
        <v>275</v>
      </c>
      <c r="S14" s="357" t="s">
        <v>275</v>
      </c>
      <c r="T14" s="357" t="s">
        <v>275</v>
      </c>
      <c r="U14" s="357" t="s">
        <v>275</v>
      </c>
      <c r="V14" s="357" t="s">
        <v>275</v>
      </c>
      <c r="W14" s="357" t="s">
        <v>275</v>
      </c>
      <c r="X14" s="357" t="s">
        <v>275</v>
      </c>
      <c r="Y14" s="357" t="s">
        <v>275</v>
      </c>
      <c r="Z14" s="357" t="s">
        <v>275</v>
      </c>
    </row>
    <row r="15" spans="1:26" ht="15" hidden="1" customHeight="1" outlineLevel="1" x14ac:dyDescent="0.2">
      <c r="A15" s="358" t="s">
        <v>211</v>
      </c>
      <c r="B15" s="359"/>
      <c r="D15" s="324" t="s">
        <v>304</v>
      </c>
      <c r="E15" s="345" t="s">
        <v>222</v>
      </c>
      <c r="F15" s="346" t="s">
        <v>307</v>
      </c>
      <c r="L15" s="360" t="s">
        <v>308</v>
      </c>
      <c r="M15" s="360" t="s">
        <v>308</v>
      </c>
      <c r="N15" s="360" t="s">
        <v>308</v>
      </c>
      <c r="O15" s="360" t="s">
        <v>308</v>
      </c>
      <c r="P15" s="360" t="s">
        <v>308</v>
      </c>
      <c r="Q15" s="360" t="s">
        <v>308</v>
      </c>
      <c r="R15" s="360" t="s">
        <v>308</v>
      </c>
      <c r="S15" s="360" t="s">
        <v>308</v>
      </c>
      <c r="T15" s="360" t="s">
        <v>308</v>
      </c>
      <c r="U15" s="360" t="s">
        <v>308</v>
      </c>
      <c r="V15" s="360" t="s">
        <v>308</v>
      </c>
      <c r="W15" s="360" t="s">
        <v>308</v>
      </c>
      <c r="X15" s="360" t="s">
        <v>308</v>
      </c>
      <c r="Y15" s="360" t="s">
        <v>308</v>
      </c>
      <c r="Z15" s="360" t="s">
        <v>308</v>
      </c>
    </row>
    <row r="16" spans="1:26" ht="15" hidden="1" customHeight="1" outlineLevel="1" x14ac:dyDescent="0.2">
      <c r="A16" s="361" t="s">
        <v>190</v>
      </c>
      <c r="B16" s="362" t="s">
        <v>280</v>
      </c>
      <c r="C16" s="363" t="s">
        <v>212</v>
      </c>
      <c r="E16" s="345" t="s">
        <v>309</v>
      </c>
      <c r="F16" s="346" t="s">
        <v>279</v>
      </c>
    </row>
    <row r="17" spans="1:27" ht="15" hidden="1" customHeight="1" outlineLevel="1" x14ac:dyDescent="0.3">
      <c r="A17" s="336" t="s">
        <v>213</v>
      </c>
      <c r="B17" s="337" t="s">
        <v>310</v>
      </c>
      <c r="C17" s="321">
        <v>2</v>
      </c>
      <c r="D17" s="324" t="s">
        <v>214</v>
      </c>
      <c r="E17" s="345" t="s">
        <v>222</v>
      </c>
      <c r="F17" s="346" t="s">
        <v>311</v>
      </c>
      <c r="L17" s="347" t="s">
        <v>222</v>
      </c>
      <c r="M17" s="347" t="s">
        <v>1776</v>
      </c>
      <c r="N17" s="347" t="s">
        <v>1776</v>
      </c>
      <c r="O17" s="347" t="s">
        <v>1777</v>
      </c>
      <c r="P17" s="347" t="s">
        <v>1778</v>
      </c>
      <c r="Q17" s="347" t="s">
        <v>1779</v>
      </c>
      <c r="R17" s="347" t="s">
        <v>1780</v>
      </c>
      <c r="S17" s="347" t="s">
        <v>1781</v>
      </c>
      <c r="T17" s="347" t="s">
        <v>1782</v>
      </c>
      <c r="U17" s="347" t="s">
        <v>1783</v>
      </c>
      <c r="V17" s="347" t="s">
        <v>1784</v>
      </c>
      <c r="W17" s="347" t="s">
        <v>1785</v>
      </c>
      <c r="X17" s="347" t="s">
        <v>1786</v>
      </c>
      <c r="Y17" s="347" t="s">
        <v>1787</v>
      </c>
      <c r="Z17" s="347" t="s">
        <v>1788</v>
      </c>
      <c r="AA17" s="347" t="s">
        <v>1776</v>
      </c>
    </row>
    <row r="18" spans="1:27" ht="15" hidden="1" customHeight="1" outlineLevel="1" x14ac:dyDescent="0.3">
      <c r="B18" s="337" t="s">
        <v>312</v>
      </c>
      <c r="D18" s="324" t="s">
        <v>215</v>
      </c>
      <c r="E18" s="345" t="s">
        <v>222</v>
      </c>
      <c r="F18" s="346" t="s">
        <v>313</v>
      </c>
      <c r="L18" s="347" t="s">
        <v>222</v>
      </c>
      <c r="M18" s="347" t="s">
        <v>279</v>
      </c>
      <c r="N18" s="347" t="s">
        <v>306</v>
      </c>
      <c r="O18" s="347" t="s">
        <v>275</v>
      </c>
      <c r="P18" s="347" t="s">
        <v>275</v>
      </c>
      <c r="Q18" s="347" t="s">
        <v>275</v>
      </c>
      <c r="R18" s="347" t="s">
        <v>275</v>
      </c>
      <c r="S18" s="347" t="s">
        <v>275</v>
      </c>
      <c r="T18" s="347" t="s">
        <v>275</v>
      </c>
      <c r="U18" s="347" t="s">
        <v>275</v>
      </c>
      <c r="V18" s="347" t="s">
        <v>275</v>
      </c>
      <c r="W18" s="347" t="s">
        <v>275</v>
      </c>
      <c r="X18" s="347" t="s">
        <v>275</v>
      </c>
      <c r="Y18" s="347" t="s">
        <v>275</v>
      </c>
      <c r="Z18" s="347" t="s">
        <v>275</v>
      </c>
      <c r="AA18" s="347" t="s">
        <v>275</v>
      </c>
    </row>
    <row r="19" spans="1:27" ht="15" hidden="1" customHeight="1" outlineLevel="1" x14ac:dyDescent="0.3">
      <c r="E19" s="345" t="s">
        <v>222</v>
      </c>
      <c r="F19" s="346" t="s">
        <v>314</v>
      </c>
      <c r="L19" s="347" t="s">
        <v>222</v>
      </c>
      <c r="M19" s="347" t="s">
        <v>308</v>
      </c>
      <c r="N19" s="347" t="s">
        <v>308</v>
      </c>
      <c r="O19" s="347" t="s">
        <v>308</v>
      </c>
      <c r="P19" s="347" t="s">
        <v>308</v>
      </c>
      <c r="Q19" s="347" t="s">
        <v>308</v>
      </c>
      <c r="R19" s="347" t="s">
        <v>308</v>
      </c>
      <c r="S19" s="347" t="s">
        <v>308</v>
      </c>
      <c r="T19" s="347" t="s">
        <v>308</v>
      </c>
      <c r="U19" s="347" t="s">
        <v>308</v>
      </c>
      <c r="V19" s="347" t="s">
        <v>308</v>
      </c>
      <c r="W19" s="347" t="s">
        <v>308</v>
      </c>
      <c r="X19" s="347" t="s">
        <v>308</v>
      </c>
      <c r="Y19" s="347" t="s">
        <v>308</v>
      </c>
      <c r="Z19" s="347" t="s">
        <v>308</v>
      </c>
      <c r="AA19" s="347" t="s">
        <v>308</v>
      </c>
    </row>
    <row r="20" spans="1:27" ht="36.9" customHeight="1" collapsed="1" thickBot="1" x14ac:dyDescent="0.25">
      <c r="E20" s="345" t="s">
        <v>222</v>
      </c>
      <c r="F20" s="346" t="s">
        <v>315</v>
      </c>
      <c r="O20" s="413" t="s">
        <v>1789</v>
      </c>
      <c r="P20" s="413" t="s">
        <v>1790</v>
      </c>
      <c r="Q20" s="413" t="s">
        <v>1791</v>
      </c>
      <c r="R20" s="413" t="s">
        <v>1792</v>
      </c>
      <c r="S20" s="413" t="s">
        <v>1793</v>
      </c>
      <c r="T20" s="413" t="s">
        <v>1794</v>
      </c>
      <c r="U20" s="413" t="s">
        <v>1795</v>
      </c>
      <c r="V20" s="413" t="s">
        <v>1796</v>
      </c>
      <c r="W20" s="413" t="s">
        <v>1797</v>
      </c>
      <c r="X20" s="413" t="s">
        <v>1798</v>
      </c>
      <c r="Y20" s="413" t="s">
        <v>1799</v>
      </c>
      <c r="Z20" s="413" t="s">
        <v>1800</v>
      </c>
      <c r="AA20" s="413" t="s">
        <v>1801</v>
      </c>
    </row>
    <row r="21" spans="1:27" ht="15" customHeight="1" thickBot="1" x14ac:dyDescent="0.25">
      <c r="K21" s="364" t="s">
        <v>181</v>
      </c>
      <c r="L21" s="365" t="s">
        <v>258</v>
      </c>
    </row>
    <row r="22" spans="1:27" ht="15" customHeight="1" thickBot="1" x14ac:dyDescent="0.45">
      <c r="K22" s="366" t="s">
        <v>316</v>
      </c>
      <c r="L22" s="365" t="s">
        <v>275</v>
      </c>
      <c r="M22" s="367"/>
      <c r="N22" s="367"/>
      <c r="O22" s="368" t="s">
        <v>1802</v>
      </c>
    </row>
    <row r="23" spans="1:27" ht="15" customHeight="1" thickBot="1" x14ac:dyDescent="0.45">
      <c r="K23" s="366" t="s">
        <v>318</v>
      </c>
      <c r="L23" s="365" t="s">
        <v>280</v>
      </c>
      <c r="M23" s="367"/>
      <c r="N23" s="367"/>
      <c r="O23" s="368" t="s">
        <v>91</v>
      </c>
    </row>
    <row r="24" spans="1:27" ht="15" customHeight="1" thickBot="1" x14ac:dyDescent="0.45">
      <c r="F24" s="323"/>
      <c r="K24" s="366" t="s">
        <v>319</v>
      </c>
      <c r="L24" s="365" t="s">
        <v>1776</v>
      </c>
      <c r="M24" s="367"/>
      <c r="N24" s="367"/>
      <c r="O24" s="368" t="s">
        <v>1801</v>
      </c>
    </row>
    <row r="25" spans="1:27" ht="15" customHeight="1" thickBot="1" x14ac:dyDescent="0.45">
      <c r="F25" s="323"/>
      <c r="G25" s="323"/>
      <c r="K25" s="369" t="s">
        <v>219</v>
      </c>
      <c r="L25" s="370" t="s">
        <v>173</v>
      </c>
      <c r="Q25" s="371"/>
    </row>
    <row r="26" spans="1:27" ht="27" customHeight="1" thickBot="1" x14ac:dyDescent="0.45">
      <c r="F26" s="323"/>
      <c r="G26" s="323"/>
      <c r="K26" s="369"/>
      <c r="L26" s="372" t="s">
        <v>91</v>
      </c>
      <c r="Q26" s="371"/>
    </row>
    <row r="27" spans="1:27" ht="17.100000000000001" customHeight="1" x14ac:dyDescent="0.4">
      <c r="F27" s="323"/>
      <c r="G27" s="323"/>
      <c r="J27" s="373"/>
      <c r="K27" s="374"/>
      <c r="L27" s="375"/>
      <c r="M27" s="376"/>
      <c r="N27" s="376"/>
      <c r="P27" s="377" t="s">
        <v>321</v>
      </c>
    </row>
    <row r="28" spans="1:27" ht="17.100000000000001" customHeight="1" x14ac:dyDescent="0.4">
      <c r="F28" s="323"/>
      <c r="G28" s="323"/>
      <c r="J28" s="378" t="s">
        <v>322</v>
      </c>
      <c r="K28" s="379"/>
      <c r="L28" s="380"/>
      <c r="M28" s="381"/>
      <c r="N28" s="381"/>
    </row>
    <row r="29" spans="1:27" ht="17.100000000000001" customHeight="1" thickBot="1" x14ac:dyDescent="0.45">
      <c r="F29" s="323"/>
      <c r="G29" s="323"/>
      <c r="J29" s="382"/>
      <c r="K29" s="383"/>
      <c r="L29" s="384"/>
      <c r="M29" s="376"/>
      <c r="N29" s="376"/>
      <c r="P29" s="385" t="s">
        <v>323</v>
      </c>
    </row>
    <row r="30" spans="1:27" ht="15" customHeight="1" x14ac:dyDescent="0.4">
      <c r="F30" s="323"/>
      <c r="G30" s="323"/>
      <c r="H30" s="386" t="s">
        <v>222</v>
      </c>
    </row>
    <row r="31" spans="1:27" ht="15" customHeight="1" x14ac:dyDescent="0.4">
      <c r="F31" s="323"/>
      <c r="G31" s="323"/>
      <c r="H31" s="386" t="s">
        <v>222</v>
      </c>
      <c r="I31" s="321"/>
      <c r="J31" s="387" t="s">
        <v>224</v>
      </c>
      <c r="K31" s="353"/>
      <c r="L31" s="353"/>
      <c r="M31" s="388" t="s">
        <v>279</v>
      </c>
      <c r="N31" s="388" t="s">
        <v>306</v>
      </c>
      <c r="O31" s="389" t="s">
        <v>1802</v>
      </c>
      <c r="P31" s="389" t="s">
        <v>1802</v>
      </c>
      <c r="Q31" s="389" t="s">
        <v>1802</v>
      </c>
      <c r="R31" s="389" t="s">
        <v>1802</v>
      </c>
      <c r="S31" s="389" t="s">
        <v>1802</v>
      </c>
      <c r="T31" s="389" t="s">
        <v>1802</v>
      </c>
      <c r="U31" s="389" t="s">
        <v>1802</v>
      </c>
      <c r="V31" s="389" t="s">
        <v>1802</v>
      </c>
      <c r="W31" s="389" t="s">
        <v>1802</v>
      </c>
      <c r="X31" s="389" t="s">
        <v>1802</v>
      </c>
      <c r="Y31" s="389" t="s">
        <v>1802</v>
      </c>
      <c r="Z31" s="389" t="s">
        <v>1802</v>
      </c>
      <c r="AA31" s="389" t="s">
        <v>1802</v>
      </c>
    </row>
    <row r="32" spans="1:27" ht="15" customHeight="1" x14ac:dyDescent="0.4">
      <c r="F32" s="323"/>
      <c r="G32" s="323"/>
      <c r="H32" s="321"/>
      <c r="I32" s="321"/>
      <c r="J32" s="390" t="s">
        <v>225</v>
      </c>
      <c r="K32" s="570" t="s">
        <v>226</v>
      </c>
      <c r="L32" s="570" t="s">
        <v>227</v>
      </c>
      <c r="M32" s="388" t="s">
        <v>1776</v>
      </c>
      <c r="N32" s="388" t="s">
        <v>1776</v>
      </c>
      <c r="O32" s="391" t="s">
        <v>1789</v>
      </c>
      <c r="P32" s="391" t="s">
        <v>1790</v>
      </c>
      <c r="Q32" s="391" t="s">
        <v>1791</v>
      </c>
      <c r="R32" s="391" t="s">
        <v>1792</v>
      </c>
      <c r="S32" s="391" t="s">
        <v>1793</v>
      </c>
      <c r="T32" s="391" t="s">
        <v>1794</v>
      </c>
      <c r="U32" s="391" t="s">
        <v>1795</v>
      </c>
      <c r="V32" s="391" t="s">
        <v>1796</v>
      </c>
      <c r="W32" s="391" t="s">
        <v>1797</v>
      </c>
      <c r="X32" s="391" t="s">
        <v>1798</v>
      </c>
      <c r="Y32" s="391" t="s">
        <v>1799</v>
      </c>
      <c r="Z32" s="391" t="s">
        <v>1800</v>
      </c>
      <c r="AA32" s="391" t="s">
        <v>1801</v>
      </c>
    </row>
    <row r="33" spans="4:27" ht="8.6999999999999993" customHeight="1" x14ac:dyDescent="0.4">
      <c r="F33" s="323"/>
      <c r="G33" s="323"/>
      <c r="I33" s="321"/>
      <c r="J33" s="321"/>
      <c r="K33" s="321"/>
      <c r="L33" s="321"/>
      <c r="M33" s="321"/>
      <c r="N33" s="321"/>
    </row>
    <row r="34" spans="4:27" ht="15" customHeight="1" x14ac:dyDescent="0.4">
      <c r="F34" s="323"/>
      <c r="G34" s="323"/>
      <c r="J34" s="392" t="s">
        <v>336</v>
      </c>
      <c r="K34" s="392" t="s">
        <v>259</v>
      </c>
      <c r="L34" s="392" t="s">
        <v>258</v>
      </c>
      <c r="M34" s="393">
        <v>484137049.65671277</v>
      </c>
      <c r="N34" s="393">
        <v>492415871.49867469</v>
      </c>
      <c r="O34" s="393">
        <v>32228058.27</v>
      </c>
      <c r="P34" s="393">
        <v>21713640.07</v>
      </c>
      <c r="Q34" s="393">
        <v>25450216.030000001</v>
      </c>
      <c r="R34" s="393">
        <v>34854262.670000002</v>
      </c>
      <c r="S34" s="393">
        <v>43952946.369999997</v>
      </c>
      <c r="T34" s="393">
        <v>52722323.030000001</v>
      </c>
      <c r="U34" s="393">
        <v>57217625.990000002</v>
      </c>
      <c r="V34" s="393">
        <v>63872766.116139203</v>
      </c>
      <c r="W34" s="393">
        <v>55569155.451327503</v>
      </c>
      <c r="X34" s="393">
        <v>47144848.826418601</v>
      </c>
      <c r="Y34" s="393">
        <v>29245158.232035201</v>
      </c>
      <c r="Z34" s="393">
        <v>20166048.6007923</v>
      </c>
      <c r="AA34" s="393">
        <v>484137049.65671277</v>
      </c>
    </row>
    <row r="35" spans="4:27" ht="15" customHeight="1" x14ac:dyDescent="0.4">
      <c r="F35" s="323"/>
      <c r="G35" s="323"/>
      <c r="J35" s="392" t="s">
        <v>336</v>
      </c>
      <c r="K35" s="394" t="s">
        <v>337</v>
      </c>
      <c r="L35" s="392" t="s">
        <v>338</v>
      </c>
      <c r="M35" s="393">
        <v>484137049.65671277</v>
      </c>
      <c r="N35" s="393">
        <v>492415871.49867469</v>
      </c>
      <c r="O35" s="393">
        <v>32228058.27</v>
      </c>
      <c r="P35" s="393">
        <v>21713640.07</v>
      </c>
      <c r="Q35" s="393">
        <v>25450216.030000001</v>
      </c>
      <c r="R35" s="393">
        <v>34854262.670000002</v>
      </c>
      <c r="S35" s="393">
        <v>43952946.369999997</v>
      </c>
      <c r="T35" s="393">
        <v>52722323.030000001</v>
      </c>
      <c r="U35" s="393">
        <v>57217625.990000002</v>
      </c>
      <c r="V35" s="393">
        <v>63872766.116139203</v>
      </c>
      <c r="W35" s="393">
        <v>55569155.451327503</v>
      </c>
      <c r="X35" s="393">
        <v>47144848.826418601</v>
      </c>
      <c r="Y35" s="393">
        <v>29245158.232035201</v>
      </c>
      <c r="Z35" s="393">
        <v>20166048.6007923</v>
      </c>
      <c r="AA35" s="393">
        <v>484137049.65671277</v>
      </c>
    </row>
    <row r="36" spans="4:27" ht="15" customHeight="1" x14ac:dyDescent="0.4">
      <c r="F36" s="323"/>
      <c r="G36" s="323"/>
      <c r="J36" s="392" t="s">
        <v>336</v>
      </c>
      <c r="K36" s="395" t="s">
        <v>339</v>
      </c>
      <c r="L36" s="392" t="s">
        <v>340</v>
      </c>
      <c r="M36" s="393">
        <v>724284092.91329682</v>
      </c>
      <c r="N36" s="393">
        <v>743566026.22922945</v>
      </c>
      <c r="O36" s="393">
        <v>50076782.829999998</v>
      </c>
      <c r="P36" s="393">
        <v>37273948.189999998</v>
      </c>
      <c r="Q36" s="393">
        <v>44551573.689999998</v>
      </c>
      <c r="R36" s="393">
        <v>53444269.990000002</v>
      </c>
      <c r="S36" s="393">
        <v>64742277.710000001</v>
      </c>
      <c r="T36" s="393">
        <v>73871136.890000001</v>
      </c>
      <c r="U36" s="393">
        <v>83740317.560000002</v>
      </c>
      <c r="V36" s="393">
        <v>91514251.211034298</v>
      </c>
      <c r="W36" s="393">
        <v>72841876.114989594</v>
      </c>
      <c r="X36" s="393">
        <v>68894249.583724797</v>
      </c>
      <c r="Y36" s="393">
        <v>44961974.273254901</v>
      </c>
      <c r="Z36" s="393">
        <v>38371434.8702932</v>
      </c>
      <c r="AA36" s="393">
        <v>724284092.91329682</v>
      </c>
    </row>
    <row r="37" spans="4:27" ht="15" customHeight="1" x14ac:dyDescent="0.4">
      <c r="F37" s="323"/>
      <c r="G37" s="323"/>
      <c r="J37" s="392" t="s">
        <v>336</v>
      </c>
      <c r="K37" s="396" t="s">
        <v>341</v>
      </c>
      <c r="L37" s="392" t="s">
        <v>341</v>
      </c>
      <c r="M37" s="393">
        <v>2676396471.4715629</v>
      </c>
      <c r="N37" s="393">
        <v>3172996810.8422518</v>
      </c>
      <c r="O37" s="393">
        <v>197737051.05000001</v>
      </c>
      <c r="P37" s="393">
        <v>168252679.25999999</v>
      </c>
      <c r="Q37" s="393">
        <v>185683459.80000001</v>
      </c>
      <c r="R37" s="393">
        <v>208337359.11000001</v>
      </c>
      <c r="S37" s="393">
        <v>226059370</v>
      </c>
      <c r="T37" s="393">
        <v>242807135.63999999</v>
      </c>
      <c r="U37" s="393">
        <v>266563955.56</v>
      </c>
      <c r="V37" s="393">
        <v>272462671.26721722</v>
      </c>
      <c r="W37" s="393">
        <v>257745513.0260804</v>
      </c>
      <c r="X37" s="393">
        <v>240764529.4601478</v>
      </c>
      <c r="Y37" s="393">
        <v>205909538.7962915</v>
      </c>
      <c r="Z37" s="393">
        <v>204073208.50182599</v>
      </c>
      <c r="AA37" s="393">
        <v>2676396471.4715629</v>
      </c>
    </row>
    <row r="38" spans="4:27" ht="15" customHeight="1" x14ac:dyDescent="0.4">
      <c r="F38" s="323"/>
      <c r="G38" s="323"/>
      <c r="J38" s="392" t="s">
        <v>336</v>
      </c>
      <c r="K38" s="397" t="s">
        <v>342</v>
      </c>
      <c r="L38" s="392" t="s">
        <v>343</v>
      </c>
      <c r="M38" s="393">
        <v>2676396471.4715629</v>
      </c>
      <c r="N38" s="393">
        <v>3172996810.8422518</v>
      </c>
      <c r="O38" s="393">
        <v>197737051.05000001</v>
      </c>
      <c r="P38" s="393">
        <v>168252679.25999999</v>
      </c>
      <c r="Q38" s="393">
        <v>185683459.80000001</v>
      </c>
      <c r="R38" s="393">
        <v>208337359.11000001</v>
      </c>
      <c r="S38" s="393">
        <v>226059370</v>
      </c>
      <c r="T38" s="393">
        <v>242807135.63999999</v>
      </c>
      <c r="U38" s="393">
        <v>266563955.56</v>
      </c>
      <c r="V38" s="393">
        <v>272462671.26721722</v>
      </c>
      <c r="W38" s="393">
        <v>257745513.0260804</v>
      </c>
      <c r="X38" s="393">
        <v>240764529.4601478</v>
      </c>
      <c r="Y38" s="393">
        <v>205909538.7962915</v>
      </c>
      <c r="Z38" s="393">
        <v>204073208.50182599</v>
      </c>
      <c r="AA38" s="393">
        <v>2676396471.4715629</v>
      </c>
    </row>
    <row r="39" spans="4:27" ht="15" customHeight="1" x14ac:dyDescent="0.4">
      <c r="F39" s="323"/>
      <c r="G39" s="323"/>
      <c r="J39" s="392" t="s">
        <v>336</v>
      </c>
      <c r="K39" s="398" t="s">
        <v>344</v>
      </c>
      <c r="L39" s="392" t="s">
        <v>345</v>
      </c>
      <c r="M39" s="393">
        <v>2676396471.4715629</v>
      </c>
      <c r="N39" s="393">
        <v>3172996810.8422518</v>
      </c>
      <c r="O39" s="393">
        <v>197737051.05000001</v>
      </c>
      <c r="P39" s="393">
        <v>168252679.25999999</v>
      </c>
      <c r="Q39" s="393">
        <v>185683459.80000001</v>
      </c>
      <c r="R39" s="393">
        <v>208337359.11000001</v>
      </c>
      <c r="S39" s="393">
        <v>226059370</v>
      </c>
      <c r="T39" s="393">
        <v>242807135.63999999</v>
      </c>
      <c r="U39" s="393">
        <v>266563955.56</v>
      </c>
      <c r="V39" s="393">
        <v>272462671.26721722</v>
      </c>
      <c r="W39" s="393">
        <v>257745513.0260804</v>
      </c>
      <c r="X39" s="393">
        <v>240764529.4601478</v>
      </c>
      <c r="Y39" s="393">
        <v>205909538.7962915</v>
      </c>
      <c r="Z39" s="393">
        <v>204073208.50182599</v>
      </c>
      <c r="AA39" s="393">
        <v>2676396471.4715629</v>
      </c>
    </row>
    <row r="40" spans="4:27" ht="15" customHeight="1" x14ac:dyDescent="0.4">
      <c r="F40" s="323"/>
      <c r="G40" s="323"/>
      <c r="J40" s="392" t="s">
        <v>336</v>
      </c>
      <c r="K40" s="399" t="s">
        <v>346</v>
      </c>
      <c r="L40" s="392" t="s">
        <v>347</v>
      </c>
      <c r="M40" s="393">
        <v>1742191898.6500001</v>
      </c>
      <c r="N40" s="393">
        <v>1840371168.3600008</v>
      </c>
      <c r="O40" s="393">
        <v>119983562.44</v>
      </c>
      <c r="P40" s="393">
        <v>100796281.45999999</v>
      </c>
      <c r="Q40" s="393">
        <v>104486720.66</v>
      </c>
      <c r="R40" s="393">
        <v>130825079.03</v>
      </c>
      <c r="S40" s="393">
        <v>139761723.50999999</v>
      </c>
      <c r="T40" s="393">
        <v>159161872.49000001</v>
      </c>
      <c r="U40" s="393">
        <v>186240066.06999999</v>
      </c>
      <c r="V40" s="393">
        <v>192647383.65000001</v>
      </c>
      <c r="W40" s="393">
        <v>184952400.86000001</v>
      </c>
      <c r="X40" s="393">
        <v>166965063.78</v>
      </c>
      <c r="Y40" s="393">
        <v>136686753.25</v>
      </c>
      <c r="Z40" s="393">
        <v>119684991.45</v>
      </c>
      <c r="AA40" s="393">
        <v>1742191898.6500001</v>
      </c>
    </row>
    <row r="41" spans="4:27" ht="15" customHeight="1" x14ac:dyDescent="0.4">
      <c r="G41" s="323"/>
      <c r="J41" s="400" t="s">
        <v>336</v>
      </c>
      <c r="K41" s="401" t="s">
        <v>348</v>
      </c>
      <c r="L41" s="402" t="s">
        <v>349</v>
      </c>
      <c r="M41" s="402">
        <v>940361645.87</v>
      </c>
      <c r="N41" s="402">
        <v>962918644.0000006</v>
      </c>
      <c r="O41" s="402">
        <v>69269822.829999998</v>
      </c>
      <c r="P41" s="402">
        <v>58869928.869999997</v>
      </c>
      <c r="Q41" s="402">
        <v>60696837.310000002</v>
      </c>
      <c r="R41" s="402">
        <v>68591917.129999995</v>
      </c>
      <c r="S41" s="402">
        <v>72621989.640000001</v>
      </c>
      <c r="T41" s="402">
        <v>81787104.650000006</v>
      </c>
      <c r="U41" s="402">
        <v>94300963.439999998</v>
      </c>
      <c r="V41" s="402">
        <v>107162440</v>
      </c>
      <c r="W41" s="402">
        <v>97202443</v>
      </c>
      <c r="X41" s="402">
        <v>88715924</v>
      </c>
      <c r="Y41" s="402">
        <v>76179972</v>
      </c>
      <c r="Z41" s="402">
        <v>64962303</v>
      </c>
      <c r="AA41" s="402">
        <v>940361645.87</v>
      </c>
    </row>
    <row r="42" spans="4:27" ht="15" customHeight="1" x14ac:dyDescent="0.4">
      <c r="G42" s="323"/>
      <c r="J42" s="400" t="s">
        <v>336</v>
      </c>
      <c r="K42" s="401" t="s">
        <v>350</v>
      </c>
      <c r="L42" s="402" t="s">
        <v>351</v>
      </c>
      <c r="M42" s="402">
        <v>525191999.42000002</v>
      </c>
      <c r="N42" s="402">
        <v>681937464</v>
      </c>
      <c r="O42" s="402">
        <v>36586462.82</v>
      </c>
      <c r="P42" s="402">
        <v>30094821.460000001</v>
      </c>
      <c r="Q42" s="402">
        <v>31492274.199999999</v>
      </c>
      <c r="R42" s="402">
        <v>39743842.68</v>
      </c>
      <c r="S42" s="402">
        <v>42986935.950000003</v>
      </c>
      <c r="T42" s="402">
        <v>49736513.359999999</v>
      </c>
      <c r="U42" s="402">
        <v>59420228.950000003</v>
      </c>
      <c r="V42" s="402">
        <v>55063365</v>
      </c>
      <c r="W42" s="402">
        <v>56590075</v>
      </c>
      <c r="X42" s="402">
        <v>50235500</v>
      </c>
      <c r="Y42" s="402">
        <v>38532547</v>
      </c>
      <c r="Z42" s="402">
        <v>34709433</v>
      </c>
      <c r="AA42" s="402">
        <v>525191999.42000002</v>
      </c>
    </row>
    <row r="43" spans="4:27" ht="15" customHeight="1" x14ac:dyDescent="0.4">
      <c r="G43" s="323"/>
      <c r="J43" s="400" t="s">
        <v>336</v>
      </c>
      <c r="K43" s="401" t="s">
        <v>352</v>
      </c>
      <c r="L43" s="402" t="s">
        <v>353</v>
      </c>
      <c r="M43" s="402">
        <v>-1839215.7</v>
      </c>
      <c r="N43" s="402">
        <v>-1798136</v>
      </c>
      <c r="O43" s="402">
        <v>-137369.32999999999</v>
      </c>
      <c r="P43" s="402">
        <v>-114915.2</v>
      </c>
      <c r="Q43" s="402">
        <v>-119970.07</v>
      </c>
      <c r="R43" s="402">
        <v>-138568.04</v>
      </c>
      <c r="S43" s="402">
        <v>-148924.51</v>
      </c>
      <c r="T43" s="402">
        <v>-170462.93</v>
      </c>
      <c r="U43" s="402">
        <v>-201019.62</v>
      </c>
      <c r="V43" s="402">
        <v>-187197</v>
      </c>
      <c r="W43" s="402">
        <v>-191570</v>
      </c>
      <c r="X43" s="402">
        <v>-172290</v>
      </c>
      <c r="Y43" s="402">
        <v>-134671</v>
      </c>
      <c r="Z43" s="402">
        <v>-122258</v>
      </c>
      <c r="AA43" s="402">
        <v>-1839215.7</v>
      </c>
    </row>
    <row r="44" spans="4:27" ht="15" customHeight="1" x14ac:dyDescent="0.4">
      <c r="G44" s="323"/>
      <c r="J44" s="400" t="s">
        <v>336</v>
      </c>
      <c r="K44" s="401" t="s">
        <v>354</v>
      </c>
      <c r="L44" s="402" t="s">
        <v>355</v>
      </c>
      <c r="M44" s="402">
        <v>28403944.210000001</v>
      </c>
      <c r="N44" s="402">
        <v>28088243</v>
      </c>
      <c r="O44" s="402">
        <v>2095954.8</v>
      </c>
      <c r="P44" s="402">
        <v>1753536.31</v>
      </c>
      <c r="Q44" s="402">
        <v>1823567.82</v>
      </c>
      <c r="R44" s="402">
        <v>2100430.0099999998</v>
      </c>
      <c r="S44" s="402">
        <v>2277823.96</v>
      </c>
      <c r="T44" s="402">
        <v>2632148.27</v>
      </c>
      <c r="U44" s="402">
        <v>3099741.04</v>
      </c>
      <c r="V44" s="402">
        <v>2923778</v>
      </c>
      <c r="W44" s="402">
        <v>2992047</v>
      </c>
      <c r="X44" s="402">
        <v>2691076</v>
      </c>
      <c r="Y44" s="402">
        <v>2103804</v>
      </c>
      <c r="Z44" s="402">
        <v>1910037</v>
      </c>
      <c r="AA44" s="402">
        <v>28403944.210000001</v>
      </c>
    </row>
    <row r="45" spans="4:27" ht="15" customHeight="1" x14ac:dyDescent="0.4">
      <c r="G45" s="323"/>
      <c r="J45" s="400" t="s">
        <v>336</v>
      </c>
      <c r="K45" s="401" t="s">
        <v>356</v>
      </c>
      <c r="L45" s="402" t="s">
        <v>357</v>
      </c>
      <c r="M45" s="402">
        <v>9408956.1500000004</v>
      </c>
      <c r="N45" s="402">
        <v>9194547</v>
      </c>
      <c r="O45" s="402">
        <v>704657.24</v>
      </c>
      <c r="P45" s="402">
        <v>588714.35</v>
      </c>
      <c r="Q45" s="402">
        <v>613975.51</v>
      </c>
      <c r="R45" s="402">
        <v>708617.3</v>
      </c>
      <c r="S45" s="402">
        <v>762113.51</v>
      </c>
      <c r="T45" s="402">
        <v>871714.27</v>
      </c>
      <c r="U45" s="402">
        <v>1027727.97</v>
      </c>
      <c r="V45" s="402">
        <v>957138</v>
      </c>
      <c r="W45" s="402">
        <v>979499</v>
      </c>
      <c r="X45" s="402">
        <v>880939</v>
      </c>
      <c r="Y45" s="402">
        <v>688660</v>
      </c>
      <c r="Z45" s="402">
        <v>625200</v>
      </c>
      <c r="AA45" s="402">
        <v>9408956.1500000004</v>
      </c>
    </row>
    <row r="46" spans="4:27" ht="15" customHeight="1" x14ac:dyDescent="0.4">
      <c r="G46" s="323"/>
      <c r="J46" s="400" t="s">
        <v>336</v>
      </c>
      <c r="K46" s="401" t="s">
        <v>358</v>
      </c>
      <c r="L46" s="402" t="s">
        <v>359</v>
      </c>
      <c r="M46" s="402">
        <v>33868815.130000003</v>
      </c>
      <c r="N46" s="402">
        <v>35795592.810000002</v>
      </c>
      <c r="O46" s="402">
        <v>2379889.13</v>
      </c>
      <c r="P46" s="402">
        <v>2000818.59</v>
      </c>
      <c r="Q46" s="402">
        <v>2065775.99</v>
      </c>
      <c r="R46" s="402">
        <v>2567443.91</v>
      </c>
      <c r="S46" s="402">
        <v>2730754.82</v>
      </c>
      <c r="T46" s="402">
        <v>3121625.46</v>
      </c>
      <c r="U46" s="402">
        <v>3650347.82</v>
      </c>
      <c r="V46" s="402">
        <v>3523343.59</v>
      </c>
      <c r="W46" s="402">
        <v>3623123.21</v>
      </c>
      <c r="X46" s="402">
        <v>3255037.18</v>
      </c>
      <c r="Y46" s="402">
        <v>2581294.1800000002</v>
      </c>
      <c r="Z46" s="402">
        <v>2369361.25</v>
      </c>
      <c r="AA46" s="402">
        <v>33868815.130000003</v>
      </c>
    </row>
    <row r="47" spans="4:27" ht="15" customHeight="1" x14ac:dyDescent="0.4">
      <c r="D47" s="324" t="s">
        <v>360</v>
      </c>
      <c r="G47" s="323"/>
      <c r="J47" s="400" t="s">
        <v>336</v>
      </c>
      <c r="K47" s="401" t="s">
        <v>361</v>
      </c>
      <c r="L47" s="402" t="s">
        <v>362</v>
      </c>
      <c r="M47" s="402">
        <v>41326285.439999998</v>
      </c>
      <c r="N47" s="402">
        <v>42507853.5</v>
      </c>
      <c r="O47" s="402">
        <v>2930421.21</v>
      </c>
      <c r="P47" s="402">
        <v>2460163.08</v>
      </c>
      <c r="Q47" s="402">
        <v>2550750.94</v>
      </c>
      <c r="R47" s="402">
        <v>3196615.34</v>
      </c>
      <c r="S47" s="402">
        <v>3415900.91</v>
      </c>
      <c r="T47" s="402">
        <v>3891194.24</v>
      </c>
      <c r="U47" s="402">
        <v>4554921.59</v>
      </c>
      <c r="V47" s="402">
        <v>4217385.07</v>
      </c>
      <c r="W47" s="402">
        <v>4326206.5999999996</v>
      </c>
      <c r="X47" s="402">
        <v>3882938.8</v>
      </c>
      <c r="Y47" s="402">
        <v>3072779.88</v>
      </c>
      <c r="Z47" s="402">
        <v>2827007.78</v>
      </c>
      <c r="AA47" s="402">
        <v>41326285.439999998</v>
      </c>
    </row>
    <row r="48" spans="4:27" ht="15" customHeight="1" x14ac:dyDescent="0.4">
      <c r="F48" s="323"/>
      <c r="G48" s="323"/>
      <c r="J48" s="400" t="s">
        <v>336</v>
      </c>
      <c r="K48" s="401" t="s">
        <v>363</v>
      </c>
      <c r="L48" s="402" t="s">
        <v>364</v>
      </c>
      <c r="M48" s="402">
        <v>38238544.329999998</v>
      </c>
      <c r="N48" s="402">
        <v>37679410.049999997</v>
      </c>
      <c r="O48" s="402">
        <v>2863324.14</v>
      </c>
      <c r="P48" s="402">
        <v>2394045.73</v>
      </c>
      <c r="Q48" s="402">
        <v>2496424.59</v>
      </c>
      <c r="R48" s="402">
        <v>2880565.67</v>
      </c>
      <c r="S48" s="402">
        <v>3097094.72</v>
      </c>
      <c r="T48" s="402">
        <v>3541652.87</v>
      </c>
      <c r="U48" s="402">
        <v>4174167.61</v>
      </c>
      <c r="V48" s="402">
        <v>3888639.5</v>
      </c>
      <c r="W48" s="402">
        <v>3979290.18</v>
      </c>
      <c r="X48" s="402">
        <v>3579817.36</v>
      </c>
      <c r="Y48" s="402">
        <v>2800311.55</v>
      </c>
      <c r="Z48" s="402">
        <v>2543210.41</v>
      </c>
      <c r="AA48" s="402">
        <v>38238544.329999998</v>
      </c>
    </row>
    <row r="49" spans="4:27" ht="15" customHeight="1" x14ac:dyDescent="0.4">
      <c r="F49" s="323"/>
      <c r="G49" s="323"/>
      <c r="J49" s="400" t="s">
        <v>336</v>
      </c>
      <c r="K49" s="401" t="s">
        <v>365</v>
      </c>
      <c r="L49" s="402" t="s">
        <v>366</v>
      </c>
      <c r="M49" s="402">
        <v>43949422.390000001</v>
      </c>
      <c r="N49" s="402">
        <v>44047550</v>
      </c>
      <c r="O49" s="402">
        <v>3290399.6</v>
      </c>
      <c r="P49" s="402">
        <v>2749168.27</v>
      </c>
      <c r="Q49" s="402">
        <v>2867077.43</v>
      </c>
      <c r="R49" s="402">
        <v>3309989.16</v>
      </c>
      <c r="S49" s="402">
        <v>3559703.26</v>
      </c>
      <c r="T49" s="402">
        <v>4072211.85</v>
      </c>
      <c r="U49" s="402">
        <v>4801445.82</v>
      </c>
      <c r="V49" s="402">
        <v>4471410</v>
      </c>
      <c r="W49" s="402">
        <v>4575879</v>
      </c>
      <c r="X49" s="402">
        <v>4115313</v>
      </c>
      <c r="Y49" s="402">
        <v>3216687</v>
      </c>
      <c r="Z49" s="402">
        <v>2920138</v>
      </c>
      <c r="AA49" s="402">
        <v>43949422.390000001</v>
      </c>
    </row>
    <row r="50" spans="4:27" ht="15" customHeight="1" x14ac:dyDescent="0.4">
      <c r="F50" s="323"/>
      <c r="G50" s="323"/>
      <c r="J50" s="400" t="s">
        <v>336</v>
      </c>
      <c r="K50" s="401" t="s">
        <v>367</v>
      </c>
      <c r="L50" s="402" t="s">
        <v>368</v>
      </c>
      <c r="M50" s="402">
        <v>83281501.409999996</v>
      </c>
      <c r="N50" s="402">
        <v>0</v>
      </c>
      <c r="O50" s="402">
        <v>0</v>
      </c>
      <c r="P50" s="402">
        <v>0</v>
      </c>
      <c r="Q50" s="402">
        <v>6.94</v>
      </c>
      <c r="R50" s="402">
        <v>7864225.8700000001</v>
      </c>
      <c r="S50" s="402">
        <v>8458331.25</v>
      </c>
      <c r="T50" s="402">
        <v>9678170.4499999993</v>
      </c>
      <c r="U50" s="402">
        <v>11411541.449999999</v>
      </c>
      <c r="V50" s="402">
        <v>10627081.49</v>
      </c>
      <c r="W50" s="402">
        <v>10875407.869999999</v>
      </c>
      <c r="X50" s="402">
        <v>9780808.4399999995</v>
      </c>
      <c r="Y50" s="402">
        <v>7645368.6399999997</v>
      </c>
      <c r="Z50" s="402">
        <v>6940559.0099999998</v>
      </c>
      <c r="AA50" s="402">
        <v>83281501.409999996</v>
      </c>
    </row>
    <row r="51" spans="4:27" ht="15" customHeight="1" x14ac:dyDescent="0.4">
      <c r="F51" s="323"/>
      <c r="G51" s="323"/>
      <c r="J51" s="392" t="s">
        <v>336</v>
      </c>
      <c r="K51" s="399" t="s">
        <v>369</v>
      </c>
      <c r="L51" s="392" t="s">
        <v>370</v>
      </c>
      <c r="M51" s="393">
        <v>790067339.44000006</v>
      </c>
      <c r="N51" s="393">
        <v>857163146.63</v>
      </c>
      <c r="O51" s="393">
        <v>57784597.939999998</v>
      </c>
      <c r="P51" s="393">
        <v>54710052.590000004</v>
      </c>
      <c r="Q51" s="393">
        <v>57456625.420000002</v>
      </c>
      <c r="R51" s="393">
        <v>64341785.060000002</v>
      </c>
      <c r="S51" s="393">
        <v>66877923.200000003</v>
      </c>
      <c r="T51" s="393">
        <v>70318248.379999995</v>
      </c>
      <c r="U51" s="393">
        <v>76664382.090000004</v>
      </c>
      <c r="V51" s="393">
        <v>72793512.909999996</v>
      </c>
      <c r="W51" s="393">
        <v>73495419.730000004</v>
      </c>
      <c r="X51" s="393">
        <v>70576423.040000007</v>
      </c>
      <c r="Y51" s="393">
        <v>64243674.75</v>
      </c>
      <c r="Z51" s="393">
        <v>60804694.329999998</v>
      </c>
      <c r="AA51" s="393">
        <v>790067339.44000006</v>
      </c>
    </row>
    <row r="52" spans="4:27" ht="15" customHeight="1" x14ac:dyDescent="0.4">
      <c r="D52" s="324" t="s">
        <v>360</v>
      </c>
      <c r="G52" s="323"/>
      <c r="J52" s="392" t="s">
        <v>336</v>
      </c>
      <c r="K52" s="403" t="s">
        <v>371</v>
      </c>
      <c r="L52" s="392" t="s">
        <v>372</v>
      </c>
      <c r="M52" s="393">
        <v>111632250.04000001</v>
      </c>
      <c r="N52" s="393">
        <v>0</v>
      </c>
      <c r="O52" s="393">
        <v>13824259.310000001</v>
      </c>
      <c r="P52" s="393">
        <v>13270165.08</v>
      </c>
      <c r="Q52" s="393">
        <v>13946331.41</v>
      </c>
      <c r="R52" s="393">
        <v>16106780.49</v>
      </c>
      <c r="S52" s="393">
        <v>16797809.59</v>
      </c>
      <c r="T52" s="393">
        <v>18093679.329999998</v>
      </c>
      <c r="U52" s="393">
        <v>19593224.829999998</v>
      </c>
      <c r="V52" s="393">
        <v>0</v>
      </c>
      <c r="W52" s="393">
        <v>0</v>
      </c>
      <c r="X52" s="393">
        <v>0</v>
      </c>
      <c r="Y52" s="393">
        <v>0</v>
      </c>
      <c r="Z52" s="393">
        <v>0</v>
      </c>
      <c r="AA52" s="393">
        <v>111632250.04000001</v>
      </c>
    </row>
    <row r="53" spans="4:27" ht="15" customHeight="1" x14ac:dyDescent="0.4">
      <c r="F53" s="323"/>
      <c r="G53" s="323"/>
      <c r="J53" s="400" t="s">
        <v>336</v>
      </c>
      <c r="K53" s="404" t="s">
        <v>373</v>
      </c>
      <c r="L53" s="402" t="s">
        <v>374</v>
      </c>
      <c r="M53" s="402">
        <v>70274484.560000002</v>
      </c>
      <c r="N53" s="402">
        <v>0</v>
      </c>
      <c r="O53" s="402">
        <v>9298428.3399999999</v>
      </c>
      <c r="P53" s="402">
        <v>8997502.6600000001</v>
      </c>
      <c r="Q53" s="402">
        <v>9329658.1600000001</v>
      </c>
      <c r="R53" s="402">
        <v>9906910.0199999996</v>
      </c>
      <c r="S53" s="402">
        <v>10244843.17</v>
      </c>
      <c r="T53" s="402">
        <v>10891981.59</v>
      </c>
      <c r="U53" s="402">
        <v>11605160.619999999</v>
      </c>
      <c r="V53" s="402">
        <v>0</v>
      </c>
      <c r="W53" s="402">
        <v>0</v>
      </c>
      <c r="X53" s="402">
        <v>0</v>
      </c>
      <c r="Y53" s="402">
        <v>0</v>
      </c>
      <c r="Z53" s="402">
        <v>0</v>
      </c>
      <c r="AA53" s="402">
        <v>70274484.560000002</v>
      </c>
    </row>
    <row r="54" spans="4:27" ht="15" customHeight="1" x14ac:dyDescent="0.4">
      <c r="F54" s="323"/>
      <c r="G54" s="323"/>
      <c r="J54" s="400" t="s">
        <v>336</v>
      </c>
      <c r="K54" s="404" t="s">
        <v>375</v>
      </c>
      <c r="L54" s="402" t="s">
        <v>376</v>
      </c>
      <c r="M54" s="402">
        <v>26709441.52</v>
      </c>
      <c r="N54" s="402">
        <v>0</v>
      </c>
      <c r="O54" s="402">
        <v>3141694.56</v>
      </c>
      <c r="P54" s="402">
        <v>2964171.14</v>
      </c>
      <c r="Q54" s="402">
        <v>3210113.68</v>
      </c>
      <c r="R54" s="402">
        <v>3850528.45</v>
      </c>
      <c r="S54" s="402">
        <v>4074969.44</v>
      </c>
      <c r="T54" s="402">
        <v>4488007.0599999996</v>
      </c>
      <c r="U54" s="402">
        <v>4979957.1900000004</v>
      </c>
      <c r="V54" s="402">
        <v>0</v>
      </c>
      <c r="W54" s="402">
        <v>0</v>
      </c>
      <c r="X54" s="402">
        <v>0</v>
      </c>
      <c r="Y54" s="402">
        <v>0</v>
      </c>
      <c r="Z54" s="402">
        <v>0</v>
      </c>
      <c r="AA54" s="402">
        <v>26709441.52</v>
      </c>
    </row>
    <row r="55" spans="4:27" ht="15" customHeight="1" x14ac:dyDescent="0.4">
      <c r="F55" s="323"/>
      <c r="G55" s="323"/>
      <c r="J55" s="400" t="s">
        <v>336</v>
      </c>
      <c r="K55" s="404" t="s">
        <v>377</v>
      </c>
      <c r="L55" s="402" t="s">
        <v>378</v>
      </c>
      <c r="M55" s="402">
        <v>-84825.91</v>
      </c>
      <c r="N55" s="402">
        <v>0</v>
      </c>
      <c r="O55" s="402">
        <v>-10423.620000000001</v>
      </c>
      <c r="P55" s="402">
        <v>-9811.86</v>
      </c>
      <c r="Q55" s="402">
        <v>-10668.22</v>
      </c>
      <c r="R55" s="402">
        <v>-11898.65</v>
      </c>
      <c r="S55" s="402">
        <v>-12570.43</v>
      </c>
      <c r="T55" s="402">
        <v>-13887.42</v>
      </c>
      <c r="U55" s="402">
        <v>-15565.71</v>
      </c>
      <c r="V55" s="402">
        <v>0</v>
      </c>
      <c r="W55" s="402">
        <v>0</v>
      </c>
      <c r="X55" s="402">
        <v>0</v>
      </c>
      <c r="Y55" s="402">
        <v>0</v>
      </c>
      <c r="Z55" s="402">
        <v>0</v>
      </c>
      <c r="AA55" s="402">
        <v>-84825.91</v>
      </c>
    </row>
    <row r="56" spans="4:27" ht="15" customHeight="1" x14ac:dyDescent="0.4">
      <c r="F56" s="323"/>
      <c r="G56" s="323"/>
      <c r="J56" s="400" t="s">
        <v>336</v>
      </c>
      <c r="K56" s="404" t="s">
        <v>379</v>
      </c>
      <c r="L56" s="402" t="s">
        <v>380</v>
      </c>
      <c r="M56" s="402">
        <v>1438379.03</v>
      </c>
      <c r="N56" s="402">
        <v>0</v>
      </c>
      <c r="O56" s="402">
        <v>178102.39999999999</v>
      </c>
      <c r="P56" s="402">
        <v>167981.93</v>
      </c>
      <c r="Q56" s="402">
        <v>181991.34</v>
      </c>
      <c r="R56" s="402">
        <v>201443.72</v>
      </c>
      <c r="S56" s="402">
        <v>213221.15</v>
      </c>
      <c r="T56" s="402">
        <v>234911.49</v>
      </c>
      <c r="U56" s="402">
        <v>260727</v>
      </c>
      <c r="V56" s="402">
        <v>0</v>
      </c>
      <c r="W56" s="402">
        <v>0</v>
      </c>
      <c r="X56" s="402">
        <v>0</v>
      </c>
      <c r="Y56" s="402">
        <v>0</v>
      </c>
      <c r="Z56" s="402">
        <v>0</v>
      </c>
      <c r="AA56" s="402">
        <v>1438379.03</v>
      </c>
    </row>
    <row r="57" spans="4:27" ht="15" customHeight="1" x14ac:dyDescent="0.4">
      <c r="F57" s="323"/>
      <c r="G57" s="323"/>
      <c r="J57" s="400" t="s">
        <v>336</v>
      </c>
      <c r="K57" s="404" t="s">
        <v>381</v>
      </c>
      <c r="L57" s="402" t="s">
        <v>382</v>
      </c>
      <c r="M57" s="402">
        <v>465788.52</v>
      </c>
      <c r="N57" s="402">
        <v>0</v>
      </c>
      <c r="O57" s="402">
        <v>57562.42</v>
      </c>
      <c r="P57" s="402">
        <v>54262.8</v>
      </c>
      <c r="Q57" s="402">
        <v>58770.99</v>
      </c>
      <c r="R57" s="402">
        <v>65204.160000000003</v>
      </c>
      <c r="S57" s="402">
        <v>69127.600000000006</v>
      </c>
      <c r="T57" s="402">
        <v>76252.94</v>
      </c>
      <c r="U57" s="402">
        <v>84607.61</v>
      </c>
      <c r="V57" s="402">
        <v>0</v>
      </c>
      <c r="W57" s="402">
        <v>0</v>
      </c>
      <c r="X57" s="402">
        <v>0</v>
      </c>
      <c r="Y57" s="402">
        <v>0</v>
      </c>
      <c r="Z57" s="402">
        <v>0</v>
      </c>
      <c r="AA57" s="402">
        <v>465788.52</v>
      </c>
    </row>
    <row r="58" spans="4:27" ht="15" customHeight="1" x14ac:dyDescent="0.4">
      <c r="F58" s="323"/>
      <c r="G58" s="323"/>
      <c r="J58" s="400" t="s">
        <v>336</v>
      </c>
      <c r="K58" s="404" t="s">
        <v>383</v>
      </c>
      <c r="L58" s="402" t="s">
        <v>384</v>
      </c>
      <c r="M58" s="402">
        <v>2685739.32</v>
      </c>
      <c r="N58" s="402">
        <v>0</v>
      </c>
      <c r="O58" s="402">
        <v>327823.95</v>
      </c>
      <c r="P58" s="402">
        <v>311228.48</v>
      </c>
      <c r="Q58" s="402">
        <v>331875.96000000002</v>
      </c>
      <c r="R58" s="402">
        <v>389844.1</v>
      </c>
      <c r="S58" s="402">
        <v>407387.76</v>
      </c>
      <c r="T58" s="402">
        <v>435091.5</v>
      </c>
      <c r="U58" s="402">
        <v>482487.57</v>
      </c>
      <c r="V58" s="402">
        <v>0</v>
      </c>
      <c r="W58" s="402">
        <v>0</v>
      </c>
      <c r="X58" s="402">
        <v>0</v>
      </c>
      <c r="Y58" s="402">
        <v>0</v>
      </c>
      <c r="Z58" s="402">
        <v>0</v>
      </c>
      <c r="AA58" s="402">
        <v>2685739.32</v>
      </c>
    </row>
    <row r="59" spans="4:27" ht="15" customHeight="1" x14ac:dyDescent="0.4">
      <c r="F59" s="323"/>
      <c r="J59" s="400" t="s">
        <v>336</v>
      </c>
      <c r="K59" s="404" t="s">
        <v>385</v>
      </c>
      <c r="L59" s="402" t="s">
        <v>386</v>
      </c>
      <c r="M59" s="402">
        <v>2197100.7000000002</v>
      </c>
      <c r="N59" s="402">
        <v>0</v>
      </c>
      <c r="O59" s="402">
        <v>263598.34999999998</v>
      </c>
      <c r="P59" s="402">
        <v>247809.98</v>
      </c>
      <c r="Q59" s="402">
        <v>265410.11</v>
      </c>
      <c r="R59" s="402">
        <v>318146.55</v>
      </c>
      <c r="S59" s="402">
        <v>334311.02</v>
      </c>
      <c r="T59" s="402">
        <v>365939.87</v>
      </c>
      <c r="U59" s="402">
        <v>401884.82</v>
      </c>
      <c r="V59" s="402">
        <v>0</v>
      </c>
      <c r="W59" s="402">
        <v>0</v>
      </c>
      <c r="X59" s="402">
        <v>0</v>
      </c>
      <c r="Y59" s="402">
        <v>0</v>
      </c>
      <c r="Z59" s="402">
        <v>0</v>
      </c>
      <c r="AA59" s="402">
        <v>2197100.7000000002</v>
      </c>
    </row>
    <row r="60" spans="4:27" ht="15" customHeight="1" x14ac:dyDescent="0.25">
      <c r="J60" s="400" t="s">
        <v>336</v>
      </c>
      <c r="K60" s="404" t="s">
        <v>387</v>
      </c>
      <c r="L60" s="402" t="s">
        <v>388</v>
      </c>
      <c r="M60" s="402">
        <v>2417412.86</v>
      </c>
      <c r="N60" s="402">
        <v>0</v>
      </c>
      <c r="O60" s="402">
        <v>306227.89</v>
      </c>
      <c r="P60" s="402">
        <v>291502.94</v>
      </c>
      <c r="Q60" s="402">
        <v>311676.33</v>
      </c>
      <c r="R60" s="402">
        <v>339009.67</v>
      </c>
      <c r="S60" s="402">
        <v>356195.14</v>
      </c>
      <c r="T60" s="402">
        <v>387558.25</v>
      </c>
      <c r="U60" s="402">
        <v>425242.64</v>
      </c>
      <c r="V60" s="402">
        <v>0</v>
      </c>
      <c r="W60" s="402">
        <v>0</v>
      </c>
      <c r="X60" s="402">
        <v>0</v>
      </c>
      <c r="Y60" s="402">
        <v>0</v>
      </c>
      <c r="Z60" s="402">
        <v>0</v>
      </c>
      <c r="AA60" s="402">
        <v>2417412.86</v>
      </c>
    </row>
    <row r="61" spans="4:27" ht="15" customHeight="1" x14ac:dyDescent="0.25">
      <c r="J61" s="400" t="s">
        <v>336</v>
      </c>
      <c r="K61" s="404" t="s">
        <v>389</v>
      </c>
      <c r="L61" s="402" t="s">
        <v>390</v>
      </c>
      <c r="M61" s="402">
        <v>2128010.04</v>
      </c>
      <c r="N61" s="402">
        <v>0</v>
      </c>
      <c r="O61" s="402">
        <v>261245.02</v>
      </c>
      <c r="P61" s="402">
        <v>245517.01</v>
      </c>
      <c r="Q61" s="402">
        <v>267503.06</v>
      </c>
      <c r="R61" s="402">
        <v>297830.03999999998</v>
      </c>
      <c r="S61" s="402">
        <v>316131.32</v>
      </c>
      <c r="T61" s="402">
        <v>349904.56</v>
      </c>
      <c r="U61" s="402">
        <v>389879.03</v>
      </c>
      <c r="V61" s="402">
        <v>0</v>
      </c>
      <c r="W61" s="402">
        <v>0</v>
      </c>
      <c r="X61" s="402">
        <v>0</v>
      </c>
      <c r="Y61" s="402">
        <v>0</v>
      </c>
      <c r="Z61" s="402">
        <v>0</v>
      </c>
      <c r="AA61" s="402">
        <v>2128010.04</v>
      </c>
    </row>
    <row r="62" spans="4:27" ht="15" customHeight="1" x14ac:dyDescent="0.25">
      <c r="J62" s="400" t="s">
        <v>336</v>
      </c>
      <c r="K62" s="404" t="s">
        <v>391</v>
      </c>
      <c r="L62" s="402" t="s">
        <v>392</v>
      </c>
      <c r="M62" s="402">
        <v>3400719.4</v>
      </c>
      <c r="N62" s="402">
        <v>0</v>
      </c>
      <c r="O62" s="402">
        <v>0</v>
      </c>
      <c r="P62" s="402">
        <v>0</v>
      </c>
      <c r="Q62" s="402">
        <v>0</v>
      </c>
      <c r="R62" s="402">
        <v>749762.43</v>
      </c>
      <c r="S62" s="402">
        <v>794193.42</v>
      </c>
      <c r="T62" s="402">
        <v>877919.49</v>
      </c>
      <c r="U62" s="402">
        <v>978844.06</v>
      </c>
      <c r="V62" s="402">
        <v>0</v>
      </c>
      <c r="W62" s="402">
        <v>0</v>
      </c>
      <c r="X62" s="402">
        <v>0</v>
      </c>
      <c r="Y62" s="402">
        <v>0</v>
      </c>
      <c r="Z62" s="402">
        <v>0</v>
      </c>
      <c r="AA62" s="402">
        <v>3400719.4</v>
      </c>
    </row>
    <row r="63" spans="4:27" ht="15" customHeight="1" x14ac:dyDescent="0.2">
      <c r="J63" s="392" t="s">
        <v>336</v>
      </c>
      <c r="K63" s="403" t="s">
        <v>393</v>
      </c>
      <c r="L63" s="392" t="s">
        <v>394</v>
      </c>
      <c r="M63" s="393">
        <v>678435089.39999998</v>
      </c>
      <c r="N63" s="393">
        <v>857163146.63</v>
      </c>
      <c r="O63" s="393">
        <v>43960338.630000003</v>
      </c>
      <c r="P63" s="393">
        <v>41439887.509999998</v>
      </c>
      <c r="Q63" s="393">
        <v>43510294.009999998</v>
      </c>
      <c r="R63" s="393">
        <v>48235004.57</v>
      </c>
      <c r="S63" s="393">
        <v>50080113.609999999</v>
      </c>
      <c r="T63" s="393">
        <v>52224569.049999997</v>
      </c>
      <c r="U63" s="393">
        <v>57071157.259999998</v>
      </c>
      <c r="V63" s="393">
        <v>72793512.909999996</v>
      </c>
      <c r="W63" s="393">
        <v>73495419.730000004</v>
      </c>
      <c r="X63" s="393">
        <v>70576423.040000007</v>
      </c>
      <c r="Y63" s="393">
        <v>64243674.75</v>
      </c>
      <c r="Z63" s="393">
        <v>60804694.329999998</v>
      </c>
      <c r="AA63" s="393">
        <v>678435089.39999998</v>
      </c>
    </row>
    <row r="64" spans="4:27" ht="15" customHeight="1" x14ac:dyDescent="0.25">
      <c r="J64" s="400" t="s">
        <v>336</v>
      </c>
      <c r="K64" s="404" t="s">
        <v>395</v>
      </c>
      <c r="L64" s="402" t="s">
        <v>396</v>
      </c>
      <c r="M64" s="402">
        <v>289108619.94</v>
      </c>
      <c r="N64" s="402">
        <v>346671314</v>
      </c>
      <c r="O64" s="402">
        <v>18536285.09</v>
      </c>
      <c r="P64" s="402">
        <v>17783152.539999999</v>
      </c>
      <c r="Q64" s="402">
        <v>18435119.760000002</v>
      </c>
      <c r="R64" s="402">
        <v>19043248.920000002</v>
      </c>
      <c r="S64" s="402">
        <v>19536739.23</v>
      </c>
      <c r="T64" s="402">
        <v>20167206.129999999</v>
      </c>
      <c r="U64" s="402">
        <v>21624144.27</v>
      </c>
      <c r="V64" s="402">
        <v>32161391</v>
      </c>
      <c r="W64" s="402">
        <v>32441264</v>
      </c>
      <c r="X64" s="402">
        <v>31733728</v>
      </c>
      <c r="Y64" s="402">
        <v>29642734</v>
      </c>
      <c r="Z64" s="402">
        <v>28003607</v>
      </c>
      <c r="AA64" s="402">
        <v>289108619.94</v>
      </c>
    </row>
    <row r="65" spans="10:27" ht="15" customHeight="1" x14ac:dyDescent="0.25">
      <c r="J65" s="400" t="s">
        <v>336</v>
      </c>
      <c r="K65" s="404" t="s">
        <v>397</v>
      </c>
      <c r="L65" s="402" t="s">
        <v>398</v>
      </c>
      <c r="M65" s="402">
        <v>297436987.38</v>
      </c>
      <c r="N65" s="402">
        <v>418725637</v>
      </c>
      <c r="O65" s="402">
        <v>19969935.379999999</v>
      </c>
      <c r="P65" s="402">
        <v>18451363.969999999</v>
      </c>
      <c r="Q65" s="402">
        <v>19659411.73</v>
      </c>
      <c r="R65" s="402">
        <v>22433403.870000001</v>
      </c>
      <c r="S65" s="402">
        <v>23561874.129999999</v>
      </c>
      <c r="T65" s="402">
        <v>24802317.579999998</v>
      </c>
      <c r="U65" s="402">
        <v>27581461.719999999</v>
      </c>
      <c r="V65" s="402">
        <v>30600434</v>
      </c>
      <c r="W65" s="402">
        <v>30971994</v>
      </c>
      <c r="X65" s="402">
        <v>29140199</v>
      </c>
      <c r="Y65" s="402">
        <v>25886205</v>
      </c>
      <c r="Z65" s="402">
        <v>24378387</v>
      </c>
      <c r="AA65" s="402">
        <v>297436987.38</v>
      </c>
    </row>
    <row r="66" spans="10:27" ht="15" customHeight="1" x14ac:dyDescent="0.25">
      <c r="J66" s="400" t="s">
        <v>336</v>
      </c>
      <c r="K66" s="404" t="s">
        <v>399</v>
      </c>
      <c r="L66" s="402" t="s">
        <v>400</v>
      </c>
      <c r="M66" s="402">
        <v>-817510.11</v>
      </c>
      <c r="N66" s="402">
        <v>-880022</v>
      </c>
      <c r="O66" s="402">
        <v>-60339.95</v>
      </c>
      <c r="P66" s="402">
        <v>-59530.37</v>
      </c>
      <c r="Q66" s="402">
        <v>-61084.83</v>
      </c>
      <c r="R66" s="402">
        <v>-62731.82</v>
      </c>
      <c r="S66" s="402">
        <v>-63513.62</v>
      </c>
      <c r="T66" s="402">
        <v>-65472.3</v>
      </c>
      <c r="U66" s="402">
        <v>-69732.22</v>
      </c>
      <c r="V66" s="402">
        <v>-79184</v>
      </c>
      <c r="W66" s="402">
        <v>-78969</v>
      </c>
      <c r="X66" s="402">
        <v>-77691</v>
      </c>
      <c r="Y66" s="402">
        <v>-70039</v>
      </c>
      <c r="Z66" s="402">
        <v>-69222</v>
      </c>
      <c r="AA66" s="402">
        <v>-817510.11</v>
      </c>
    </row>
    <row r="67" spans="10:27" ht="15" customHeight="1" x14ac:dyDescent="0.25">
      <c r="J67" s="400" t="s">
        <v>336</v>
      </c>
      <c r="K67" s="404" t="s">
        <v>401</v>
      </c>
      <c r="L67" s="402" t="s">
        <v>402</v>
      </c>
      <c r="M67" s="402">
        <v>12237787.779999999</v>
      </c>
      <c r="N67" s="402">
        <v>13292996</v>
      </c>
      <c r="O67" s="402">
        <v>908485.31</v>
      </c>
      <c r="P67" s="402">
        <v>878456.48</v>
      </c>
      <c r="Q67" s="402">
        <v>904666.33</v>
      </c>
      <c r="R67" s="402">
        <v>928465.11</v>
      </c>
      <c r="S67" s="402">
        <v>944716.68</v>
      </c>
      <c r="T67" s="402">
        <v>970950.53</v>
      </c>
      <c r="U67" s="402">
        <v>1034713.34</v>
      </c>
      <c r="V67" s="402">
        <v>1196386</v>
      </c>
      <c r="W67" s="402">
        <v>1193634</v>
      </c>
      <c r="X67" s="402">
        <v>1173498</v>
      </c>
      <c r="Y67" s="402">
        <v>1058434</v>
      </c>
      <c r="Z67" s="402">
        <v>1045382</v>
      </c>
      <c r="AA67" s="402">
        <v>12237787.779999999</v>
      </c>
    </row>
    <row r="68" spans="10:27" ht="15" customHeight="1" x14ac:dyDescent="0.25">
      <c r="J68" s="400" t="s">
        <v>336</v>
      </c>
      <c r="K68" s="404" t="s">
        <v>403</v>
      </c>
      <c r="L68" s="402" t="s">
        <v>404</v>
      </c>
      <c r="M68" s="402">
        <v>4855314.62</v>
      </c>
      <c r="N68" s="402">
        <v>5208701</v>
      </c>
      <c r="O68" s="402">
        <v>348199.24</v>
      </c>
      <c r="P68" s="402">
        <v>320317.96000000002</v>
      </c>
      <c r="Q68" s="402">
        <v>341261.05</v>
      </c>
      <c r="R68" s="402">
        <v>358922.34</v>
      </c>
      <c r="S68" s="402">
        <v>376944.41</v>
      </c>
      <c r="T68" s="402">
        <v>396438.69</v>
      </c>
      <c r="U68" s="402">
        <v>440574.93</v>
      </c>
      <c r="V68" s="402">
        <v>493107</v>
      </c>
      <c r="W68" s="402">
        <v>499185</v>
      </c>
      <c r="X68" s="402">
        <v>469548</v>
      </c>
      <c r="Y68" s="402">
        <v>417342</v>
      </c>
      <c r="Z68" s="402">
        <v>393474</v>
      </c>
      <c r="AA68" s="402">
        <v>4855314.62</v>
      </c>
    </row>
    <row r="69" spans="10:27" ht="15" customHeight="1" x14ac:dyDescent="0.25">
      <c r="J69" s="400" t="s">
        <v>336</v>
      </c>
      <c r="K69" s="404" t="s">
        <v>405</v>
      </c>
      <c r="L69" s="402" t="s">
        <v>406</v>
      </c>
      <c r="M69" s="402">
        <v>20861500.300000001</v>
      </c>
      <c r="N69" s="402">
        <v>25222452.93</v>
      </c>
      <c r="O69" s="402">
        <v>1425200.58</v>
      </c>
      <c r="P69" s="402">
        <v>1352257.93</v>
      </c>
      <c r="Q69" s="402">
        <v>1415379.33</v>
      </c>
      <c r="R69" s="402">
        <v>1572435.94</v>
      </c>
      <c r="S69" s="402">
        <v>1636239.99</v>
      </c>
      <c r="T69" s="402">
        <v>1712028.16</v>
      </c>
      <c r="U69" s="402">
        <v>1859227.23</v>
      </c>
      <c r="V69" s="402">
        <v>2114771.7999999998</v>
      </c>
      <c r="W69" s="402">
        <v>2128787.77</v>
      </c>
      <c r="X69" s="402">
        <v>2040526.53</v>
      </c>
      <c r="Y69" s="402">
        <v>1836818.78</v>
      </c>
      <c r="Z69" s="402">
        <v>1767826.26</v>
      </c>
      <c r="AA69" s="402">
        <v>20861500.300000001</v>
      </c>
    </row>
    <row r="70" spans="10:27" ht="15" customHeight="1" x14ac:dyDescent="0.25">
      <c r="J70" s="400" t="s">
        <v>336</v>
      </c>
      <c r="K70" s="404" t="s">
        <v>407</v>
      </c>
      <c r="L70" s="402" t="s">
        <v>408</v>
      </c>
      <c r="M70" s="402">
        <v>16205116.130000001</v>
      </c>
      <c r="N70" s="402">
        <v>20719043.84</v>
      </c>
      <c r="O70" s="402">
        <v>1055456.46</v>
      </c>
      <c r="P70" s="402">
        <v>994223.89</v>
      </c>
      <c r="Q70" s="402">
        <v>1044270.71</v>
      </c>
      <c r="R70" s="402">
        <v>1158408.3500000001</v>
      </c>
      <c r="S70" s="402">
        <v>1202927.77</v>
      </c>
      <c r="T70" s="402">
        <v>1254648.3700000001</v>
      </c>
      <c r="U70" s="402">
        <v>1371934.01</v>
      </c>
      <c r="V70" s="402">
        <v>1737189.61</v>
      </c>
      <c r="W70" s="402">
        <v>1748710</v>
      </c>
      <c r="X70" s="402">
        <v>1676217.76</v>
      </c>
      <c r="Y70" s="402">
        <v>1508896.1</v>
      </c>
      <c r="Z70" s="402">
        <v>1452233.1</v>
      </c>
      <c r="AA70" s="402">
        <v>16205116.130000001</v>
      </c>
    </row>
    <row r="71" spans="10:27" ht="15" customHeight="1" x14ac:dyDescent="0.25">
      <c r="J71" s="400" t="s">
        <v>336</v>
      </c>
      <c r="K71" s="404" t="s">
        <v>409</v>
      </c>
      <c r="L71" s="402" t="s">
        <v>410</v>
      </c>
      <c r="M71" s="402">
        <v>76.09</v>
      </c>
      <c r="N71" s="402">
        <v>0</v>
      </c>
      <c r="O71" s="402">
        <v>76.09</v>
      </c>
      <c r="P71" s="402">
        <v>0</v>
      </c>
      <c r="Q71" s="402">
        <v>0</v>
      </c>
      <c r="R71" s="402">
        <v>0</v>
      </c>
      <c r="S71" s="402">
        <v>0</v>
      </c>
      <c r="T71" s="402">
        <v>0</v>
      </c>
      <c r="U71" s="402">
        <v>0</v>
      </c>
      <c r="V71" s="402">
        <v>0</v>
      </c>
      <c r="W71" s="402">
        <v>0</v>
      </c>
      <c r="X71" s="402">
        <v>0</v>
      </c>
      <c r="Y71" s="402">
        <v>0</v>
      </c>
      <c r="Z71" s="402">
        <v>0</v>
      </c>
      <c r="AA71" s="402">
        <v>76.09</v>
      </c>
    </row>
    <row r="72" spans="10:27" ht="15" customHeight="1" x14ac:dyDescent="0.25">
      <c r="J72" s="400" t="s">
        <v>336</v>
      </c>
      <c r="K72" s="404" t="s">
        <v>411</v>
      </c>
      <c r="L72" s="402" t="s">
        <v>412</v>
      </c>
      <c r="M72" s="402">
        <v>9416599.3499999996</v>
      </c>
      <c r="N72" s="402">
        <v>11363594.859999999</v>
      </c>
      <c r="O72" s="402">
        <v>633341.1</v>
      </c>
      <c r="P72" s="402">
        <v>612797.92000000004</v>
      </c>
      <c r="Q72" s="402">
        <v>631218.43000000005</v>
      </c>
      <c r="R72" s="402">
        <v>647691.19999999995</v>
      </c>
      <c r="S72" s="402">
        <v>659088.89</v>
      </c>
      <c r="T72" s="402">
        <v>676843.45</v>
      </c>
      <c r="U72" s="402">
        <v>720348.96</v>
      </c>
      <c r="V72" s="402">
        <v>1021374.02</v>
      </c>
      <c r="W72" s="402">
        <v>1021304.08</v>
      </c>
      <c r="X72" s="402">
        <v>999265.99</v>
      </c>
      <c r="Y72" s="402">
        <v>904100.91</v>
      </c>
      <c r="Z72" s="402">
        <v>889224.4</v>
      </c>
      <c r="AA72" s="402">
        <v>9416599.3499999996</v>
      </c>
    </row>
    <row r="73" spans="10:27" ht="15" customHeight="1" x14ac:dyDescent="0.25">
      <c r="J73" s="400" t="s">
        <v>336</v>
      </c>
      <c r="K73" s="404" t="s">
        <v>413</v>
      </c>
      <c r="L73" s="402" t="s">
        <v>414</v>
      </c>
      <c r="M73" s="402">
        <v>15636863.380000001</v>
      </c>
      <c r="N73" s="402">
        <v>16839429</v>
      </c>
      <c r="O73" s="402">
        <v>1143699.33</v>
      </c>
      <c r="P73" s="402">
        <v>1106847.19</v>
      </c>
      <c r="Q73" s="402">
        <v>1140051.5</v>
      </c>
      <c r="R73" s="402">
        <v>1169666.81</v>
      </c>
      <c r="S73" s="402">
        <v>1190292.1200000001</v>
      </c>
      <c r="T73" s="402">
        <v>1221994.3999999999</v>
      </c>
      <c r="U73" s="402">
        <v>1299828.03</v>
      </c>
      <c r="V73" s="402">
        <v>1557050</v>
      </c>
      <c r="W73" s="402">
        <v>1553991</v>
      </c>
      <c r="X73" s="402">
        <v>1525130</v>
      </c>
      <c r="Y73" s="402">
        <v>1373744</v>
      </c>
      <c r="Z73" s="402">
        <v>1354569</v>
      </c>
      <c r="AA73" s="402">
        <v>15636863.380000001</v>
      </c>
    </row>
    <row r="74" spans="10:27" ht="15" customHeight="1" x14ac:dyDescent="0.25">
      <c r="J74" s="400" t="s">
        <v>336</v>
      </c>
      <c r="K74" s="404" t="s">
        <v>415</v>
      </c>
      <c r="L74" s="402" t="s">
        <v>416</v>
      </c>
      <c r="M74" s="402">
        <v>13493734.539999999</v>
      </c>
      <c r="N74" s="402">
        <v>0</v>
      </c>
      <c r="O74" s="402">
        <v>0</v>
      </c>
      <c r="P74" s="402">
        <v>0</v>
      </c>
      <c r="Q74" s="402">
        <v>0</v>
      </c>
      <c r="R74" s="402">
        <v>985493.85</v>
      </c>
      <c r="S74" s="402">
        <v>1034804.01</v>
      </c>
      <c r="T74" s="402">
        <v>1087614.04</v>
      </c>
      <c r="U74" s="402">
        <v>1208656.99</v>
      </c>
      <c r="V74" s="402">
        <v>1990993.48</v>
      </c>
      <c r="W74" s="402">
        <v>2015518.88</v>
      </c>
      <c r="X74" s="402">
        <v>1896000.76</v>
      </c>
      <c r="Y74" s="402">
        <v>1685438.96</v>
      </c>
      <c r="Z74" s="402">
        <v>1589213.57</v>
      </c>
      <c r="AA74" s="402">
        <v>13493734.539999999</v>
      </c>
    </row>
    <row r="75" spans="10:27" ht="15" customHeight="1" x14ac:dyDescent="0.2">
      <c r="J75" s="392" t="s">
        <v>336</v>
      </c>
      <c r="K75" s="399" t="s">
        <v>417</v>
      </c>
      <c r="L75" s="392" t="s">
        <v>418</v>
      </c>
      <c r="M75" s="393">
        <v>196635279.09999999</v>
      </c>
      <c r="N75" s="393">
        <v>213586139.31</v>
      </c>
      <c r="O75" s="393">
        <v>14529130.66</v>
      </c>
      <c r="P75" s="393">
        <v>15997611.16</v>
      </c>
      <c r="Q75" s="393">
        <v>15895285.640000001</v>
      </c>
      <c r="R75" s="393">
        <v>16344491.77</v>
      </c>
      <c r="S75" s="393">
        <v>17407068.91</v>
      </c>
      <c r="T75" s="393">
        <v>15760931.789999999</v>
      </c>
      <c r="U75" s="393">
        <v>18907017.649999999</v>
      </c>
      <c r="V75" s="393">
        <v>16741325.470000001</v>
      </c>
      <c r="W75" s="393">
        <v>16640622.32</v>
      </c>
      <c r="X75" s="393">
        <v>16637588.699999999</v>
      </c>
      <c r="Y75" s="393">
        <v>16003726.369999999</v>
      </c>
      <c r="Z75" s="393">
        <v>15770478.66</v>
      </c>
      <c r="AA75" s="393">
        <v>196635279.09999999</v>
      </c>
    </row>
    <row r="76" spans="10:27" ht="15" customHeight="1" x14ac:dyDescent="0.2">
      <c r="J76" s="392" t="s">
        <v>336</v>
      </c>
      <c r="K76" s="403" t="s">
        <v>419</v>
      </c>
      <c r="L76" s="392" t="s">
        <v>420</v>
      </c>
      <c r="M76" s="393">
        <v>70294646.120000005</v>
      </c>
      <c r="N76" s="393">
        <v>64481375.810000002</v>
      </c>
      <c r="O76" s="393">
        <v>6944587.04</v>
      </c>
      <c r="P76" s="393">
        <v>5020564.2300000004</v>
      </c>
      <c r="Q76" s="393">
        <v>6329778.7699999996</v>
      </c>
      <c r="R76" s="393">
        <v>6062003.7300000004</v>
      </c>
      <c r="S76" s="393">
        <v>6695474.71</v>
      </c>
      <c r="T76" s="393">
        <v>6681126.3200000003</v>
      </c>
      <c r="U76" s="393">
        <v>6736561.5800000001</v>
      </c>
      <c r="V76" s="393">
        <v>5103849.53</v>
      </c>
      <c r="W76" s="393">
        <v>5075887.3600000003</v>
      </c>
      <c r="X76" s="393">
        <v>5298389.9400000004</v>
      </c>
      <c r="Y76" s="393">
        <v>5213057.3600000003</v>
      </c>
      <c r="Z76" s="393">
        <v>5133365.55</v>
      </c>
      <c r="AA76" s="393">
        <v>70294646.120000005</v>
      </c>
    </row>
    <row r="77" spans="10:27" ht="15" customHeight="1" x14ac:dyDescent="0.2">
      <c r="J77" s="392" t="s">
        <v>336</v>
      </c>
      <c r="K77" s="405" t="s">
        <v>421</v>
      </c>
      <c r="L77" s="392" t="s">
        <v>422</v>
      </c>
      <c r="M77" s="393">
        <v>2717.79</v>
      </c>
      <c r="N77" s="393">
        <v>0</v>
      </c>
      <c r="O77" s="393">
        <v>383.49</v>
      </c>
      <c r="P77" s="393">
        <v>383.49</v>
      </c>
      <c r="Q77" s="393">
        <v>383.49</v>
      </c>
      <c r="R77" s="393">
        <v>391.83</v>
      </c>
      <c r="S77" s="393">
        <v>391.83</v>
      </c>
      <c r="T77" s="393">
        <v>391.83</v>
      </c>
      <c r="U77" s="393">
        <v>391.83</v>
      </c>
      <c r="V77" s="393">
        <v>0</v>
      </c>
      <c r="W77" s="393">
        <v>0</v>
      </c>
      <c r="X77" s="393">
        <v>0</v>
      </c>
      <c r="Y77" s="393">
        <v>0</v>
      </c>
      <c r="Z77" s="393">
        <v>0</v>
      </c>
      <c r="AA77" s="393">
        <v>2717.79</v>
      </c>
    </row>
    <row r="78" spans="10:27" ht="15" customHeight="1" x14ac:dyDescent="0.25">
      <c r="J78" s="400" t="s">
        <v>336</v>
      </c>
      <c r="K78" s="406" t="s">
        <v>423</v>
      </c>
      <c r="L78" s="402" t="s">
        <v>424</v>
      </c>
      <c r="M78" s="402">
        <v>2150.4</v>
      </c>
      <c r="N78" s="402">
        <v>0</v>
      </c>
      <c r="O78" s="402">
        <v>307.2</v>
      </c>
      <c r="P78" s="402">
        <v>307.2</v>
      </c>
      <c r="Q78" s="402">
        <v>307.2</v>
      </c>
      <c r="R78" s="402">
        <v>307.2</v>
      </c>
      <c r="S78" s="402">
        <v>307.2</v>
      </c>
      <c r="T78" s="402">
        <v>307.2</v>
      </c>
      <c r="U78" s="402">
        <v>307.2</v>
      </c>
      <c r="V78" s="402">
        <v>0</v>
      </c>
      <c r="W78" s="402">
        <v>0</v>
      </c>
      <c r="X78" s="402">
        <v>0</v>
      </c>
      <c r="Y78" s="402">
        <v>0</v>
      </c>
      <c r="Z78" s="402">
        <v>0</v>
      </c>
      <c r="AA78" s="402">
        <v>2150.4</v>
      </c>
    </row>
    <row r="79" spans="10:27" ht="15" customHeight="1" x14ac:dyDescent="0.25">
      <c r="J79" s="400" t="s">
        <v>336</v>
      </c>
      <c r="K79" s="406" t="s">
        <v>425</v>
      </c>
      <c r="L79" s="402" t="s">
        <v>426</v>
      </c>
      <c r="M79" s="402">
        <v>390.36</v>
      </c>
      <c r="N79" s="402">
        <v>0</v>
      </c>
      <c r="O79" s="402">
        <v>53.2</v>
      </c>
      <c r="P79" s="402">
        <v>53.2</v>
      </c>
      <c r="Q79" s="402">
        <v>53.2</v>
      </c>
      <c r="R79" s="402">
        <v>57.69</v>
      </c>
      <c r="S79" s="402">
        <v>57.69</v>
      </c>
      <c r="T79" s="402">
        <v>57.69</v>
      </c>
      <c r="U79" s="402">
        <v>57.69</v>
      </c>
      <c r="V79" s="402">
        <v>0</v>
      </c>
      <c r="W79" s="402">
        <v>0</v>
      </c>
      <c r="X79" s="402">
        <v>0</v>
      </c>
      <c r="Y79" s="402">
        <v>0</v>
      </c>
      <c r="Z79" s="402">
        <v>0</v>
      </c>
      <c r="AA79" s="402">
        <v>390.36</v>
      </c>
    </row>
    <row r="80" spans="10:27" ht="15" customHeight="1" x14ac:dyDescent="0.25">
      <c r="J80" s="400" t="s">
        <v>336</v>
      </c>
      <c r="K80" s="406" t="s">
        <v>427</v>
      </c>
      <c r="L80" s="402" t="s">
        <v>428</v>
      </c>
      <c r="M80" s="402">
        <v>-0.21</v>
      </c>
      <c r="N80" s="402">
        <v>0</v>
      </c>
      <c r="O80" s="402">
        <v>-0.03</v>
      </c>
      <c r="P80" s="402">
        <v>-0.03</v>
      </c>
      <c r="Q80" s="402">
        <v>-0.03</v>
      </c>
      <c r="R80" s="402">
        <v>-0.03</v>
      </c>
      <c r="S80" s="402">
        <v>-0.03</v>
      </c>
      <c r="T80" s="402">
        <v>-0.03</v>
      </c>
      <c r="U80" s="402">
        <v>-0.03</v>
      </c>
      <c r="V80" s="402">
        <v>0</v>
      </c>
      <c r="W80" s="402">
        <v>0</v>
      </c>
      <c r="X80" s="402">
        <v>0</v>
      </c>
      <c r="Y80" s="402">
        <v>0</v>
      </c>
      <c r="Z80" s="402">
        <v>0</v>
      </c>
      <c r="AA80" s="402">
        <v>-0.21</v>
      </c>
    </row>
    <row r="81" spans="10:27" ht="15" customHeight="1" x14ac:dyDescent="0.25">
      <c r="J81" s="400" t="s">
        <v>336</v>
      </c>
      <c r="K81" s="406" t="s">
        <v>429</v>
      </c>
      <c r="L81" s="402" t="s">
        <v>430</v>
      </c>
      <c r="M81" s="402">
        <v>19.739999999999998</v>
      </c>
      <c r="N81" s="402">
        <v>0</v>
      </c>
      <c r="O81" s="402">
        <v>2.82</v>
      </c>
      <c r="P81" s="402">
        <v>2.82</v>
      </c>
      <c r="Q81" s="402">
        <v>2.82</v>
      </c>
      <c r="R81" s="402">
        <v>2.82</v>
      </c>
      <c r="S81" s="402">
        <v>2.82</v>
      </c>
      <c r="T81" s="402">
        <v>2.82</v>
      </c>
      <c r="U81" s="402">
        <v>2.82</v>
      </c>
      <c r="V81" s="402">
        <v>0</v>
      </c>
      <c r="W81" s="402">
        <v>0</v>
      </c>
      <c r="X81" s="402">
        <v>0</v>
      </c>
      <c r="Y81" s="402">
        <v>0</v>
      </c>
      <c r="Z81" s="402">
        <v>0</v>
      </c>
      <c r="AA81" s="402">
        <v>19.739999999999998</v>
      </c>
    </row>
    <row r="82" spans="10:27" ht="15" customHeight="1" x14ac:dyDescent="0.25">
      <c r="J82" s="400" t="s">
        <v>336</v>
      </c>
      <c r="K82" s="406" t="s">
        <v>431</v>
      </c>
      <c r="L82" s="402" t="s">
        <v>432</v>
      </c>
      <c r="M82" s="402">
        <v>5.18</v>
      </c>
      <c r="N82" s="402">
        <v>0</v>
      </c>
      <c r="O82" s="402">
        <v>0.74</v>
      </c>
      <c r="P82" s="402">
        <v>0.74</v>
      </c>
      <c r="Q82" s="402">
        <v>0.74</v>
      </c>
      <c r="R82" s="402">
        <v>0.74</v>
      </c>
      <c r="S82" s="402">
        <v>0.74</v>
      </c>
      <c r="T82" s="402">
        <v>0.74</v>
      </c>
      <c r="U82" s="402">
        <v>0.74</v>
      </c>
      <c r="V82" s="402">
        <v>0</v>
      </c>
      <c r="W82" s="402">
        <v>0</v>
      </c>
      <c r="X82" s="402">
        <v>0</v>
      </c>
      <c r="Y82" s="402">
        <v>0</v>
      </c>
      <c r="Z82" s="402">
        <v>0</v>
      </c>
      <c r="AA82" s="402">
        <v>5.18</v>
      </c>
    </row>
    <row r="83" spans="10:27" ht="15" customHeight="1" x14ac:dyDescent="0.25">
      <c r="J83" s="400" t="s">
        <v>336</v>
      </c>
      <c r="K83" s="406" t="s">
        <v>433</v>
      </c>
      <c r="L83" s="402" t="s">
        <v>434</v>
      </c>
      <c r="M83" s="402">
        <v>20.440000000000001</v>
      </c>
      <c r="N83" s="402">
        <v>0</v>
      </c>
      <c r="O83" s="402">
        <v>2.8</v>
      </c>
      <c r="P83" s="402">
        <v>2.8</v>
      </c>
      <c r="Q83" s="402">
        <v>2.8</v>
      </c>
      <c r="R83" s="402">
        <v>3.01</v>
      </c>
      <c r="S83" s="402">
        <v>3.01</v>
      </c>
      <c r="T83" s="402">
        <v>3.01</v>
      </c>
      <c r="U83" s="402">
        <v>3.01</v>
      </c>
      <c r="V83" s="402">
        <v>0</v>
      </c>
      <c r="W83" s="402">
        <v>0</v>
      </c>
      <c r="X83" s="402">
        <v>0</v>
      </c>
      <c r="Y83" s="402">
        <v>0</v>
      </c>
      <c r="Z83" s="402">
        <v>0</v>
      </c>
      <c r="AA83" s="402">
        <v>20.440000000000001</v>
      </c>
    </row>
    <row r="84" spans="10:27" ht="15" customHeight="1" x14ac:dyDescent="0.25">
      <c r="J84" s="400" t="s">
        <v>336</v>
      </c>
      <c r="K84" s="406" t="s">
        <v>435</v>
      </c>
      <c r="L84" s="402" t="s">
        <v>436</v>
      </c>
      <c r="M84" s="402">
        <v>114.52</v>
      </c>
      <c r="N84" s="402">
        <v>0</v>
      </c>
      <c r="O84" s="402">
        <v>16.36</v>
      </c>
      <c r="P84" s="402">
        <v>16.36</v>
      </c>
      <c r="Q84" s="402">
        <v>16.36</v>
      </c>
      <c r="R84" s="402">
        <v>16.36</v>
      </c>
      <c r="S84" s="402">
        <v>16.36</v>
      </c>
      <c r="T84" s="402">
        <v>16.36</v>
      </c>
      <c r="U84" s="402">
        <v>16.36</v>
      </c>
      <c r="V84" s="402">
        <v>0</v>
      </c>
      <c r="W84" s="402">
        <v>0</v>
      </c>
      <c r="X84" s="402">
        <v>0</v>
      </c>
      <c r="Y84" s="402">
        <v>0</v>
      </c>
      <c r="Z84" s="402">
        <v>0</v>
      </c>
      <c r="AA84" s="402">
        <v>114.52</v>
      </c>
    </row>
    <row r="85" spans="10:27" ht="15" customHeight="1" x14ac:dyDescent="0.25">
      <c r="J85" s="400" t="s">
        <v>336</v>
      </c>
      <c r="K85" s="406" t="s">
        <v>437</v>
      </c>
      <c r="L85" s="402" t="s">
        <v>438</v>
      </c>
      <c r="M85" s="402">
        <v>2.8</v>
      </c>
      <c r="N85" s="402">
        <v>0</v>
      </c>
      <c r="O85" s="402">
        <v>0.4</v>
      </c>
      <c r="P85" s="402">
        <v>0.4</v>
      </c>
      <c r="Q85" s="402">
        <v>0.4</v>
      </c>
      <c r="R85" s="402">
        <v>0.4</v>
      </c>
      <c r="S85" s="402">
        <v>0.4</v>
      </c>
      <c r="T85" s="402">
        <v>0.4</v>
      </c>
      <c r="U85" s="402">
        <v>0.4</v>
      </c>
      <c r="V85" s="402">
        <v>0</v>
      </c>
      <c r="W85" s="402">
        <v>0</v>
      </c>
      <c r="X85" s="402">
        <v>0</v>
      </c>
      <c r="Y85" s="402">
        <v>0</v>
      </c>
      <c r="Z85" s="402">
        <v>0</v>
      </c>
      <c r="AA85" s="402">
        <v>2.8</v>
      </c>
    </row>
    <row r="86" spans="10:27" ht="15" customHeight="1" x14ac:dyDescent="0.25">
      <c r="J86" s="400" t="s">
        <v>336</v>
      </c>
      <c r="K86" s="406" t="s">
        <v>439</v>
      </c>
      <c r="L86" s="402" t="s">
        <v>440</v>
      </c>
      <c r="M86" s="402">
        <v>14.56</v>
      </c>
      <c r="N86" s="402">
        <v>0</v>
      </c>
      <c r="O86" s="402">
        <v>0</v>
      </c>
      <c r="P86" s="402">
        <v>0</v>
      </c>
      <c r="Q86" s="402">
        <v>0</v>
      </c>
      <c r="R86" s="402">
        <v>3.64</v>
      </c>
      <c r="S86" s="402">
        <v>3.64</v>
      </c>
      <c r="T86" s="402">
        <v>3.64</v>
      </c>
      <c r="U86" s="402">
        <v>3.64</v>
      </c>
      <c r="V86" s="402">
        <v>0</v>
      </c>
      <c r="W86" s="402">
        <v>0</v>
      </c>
      <c r="X86" s="402">
        <v>0</v>
      </c>
      <c r="Y86" s="402">
        <v>0</v>
      </c>
      <c r="Z86" s="402">
        <v>0</v>
      </c>
      <c r="AA86" s="402">
        <v>14.56</v>
      </c>
    </row>
    <row r="87" spans="10:27" ht="15" customHeight="1" x14ac:dyDescent="0.2">
      <c r="J87" s="392" t="s">
        <v>336</v>
      </c>
      <c r="K87" s="405" t="s">
        <v>441</v>
      </c>
      <c r="L87" s="392" t="s">
        <v>442</v>
      </c>
      <c r="M87" s="393">
        <v>70291928.329999998</v>
      </c>
      <c r="N87" s="393">
        <v>64481375.810000002</v>
      </c>
      <c r="O87" s="393">
        <v>6944203.5499999998</v>
      </c>
      <c r="P87" s="393">
        <v>5020180.74</v>
      </c>
      <c r="Q87" s="393">
        <v>6329395.2800000003</v>
      </c>
      <c r="R87" s="393">
        <v>6061611.9000000004</v>
      </c>
      <c r="S87" s="393">
        <v>6695082.8799999999</v>
      </c>
      <c r="T87" s="393">
        <v>6680734.4900000002</v>
      </c>
      <c r="U87" s="393">
        <v>6736169.75</v>
      </c>
      <c r="V87" s="393">
        <v>5103849.53</v>
      </c>
      <c r="W87" s="393">
        <v>5075887.3600000003</v>
      </c>
      <c r="X87" s="393">
        <v>5298389.9400000004</v>
      </c>
      <c r="Y87" s="393">
        <v>5213057.3600000003</v>
      </c>
      <c r="Z87" s="393">
        <v>5133365.55</v>
      </c>
      <c r="AA87" s="393">
        <v>70291928.329999998</v>
      </c>
    </row>
    <row r="88" spans="10:27" ht="15" customHeight="1" x14ac:dyDescent="0.25">
      <c r="J88" s="400" t="s">
        <v>336</v>
      </c>
      <c r="K88" s="406" t="s">
        <v>443</v>
      </c>
      <c r="L88" s="402" t="s">
        <v>444</v>
      </c>
      <c r="M88" s="402">
        <v>27906660.120000001</v>
      </c>
      <c r="N88" s="402">
        <v>21157084</v>
      </c>
      <c r="O88" s="402">
        <v>2611198.33</v>
      </c>
      <c r="P88" s="402">
        <v>2082431.9</v>
      </c>
      <c r="Q88" s="402">
        <v>2430538.44</v>
      </c>
      <c r="R88" s="402">
        <v>2170564.0099999998</v>
      </c>
      <c r="S88" s="402">
        <v>2379748.2599999998</v>
      </c>
      <c r="T88" s="402">
        <v>2419769.63</v>
      </c>
      <c r="U88" s="402">
        <v>2356329.5499999998</v>
      </c>
      <c r="V88" s="402">
        <v>2201230</v>
      </c>
      <c r="W88" s="402">
        <v>2256671</v>
      </c>
      <c r="X88" s="402">
        <v>2378746</v>
      </c>
      <c r="Y88" s="402">
        <v>2386322</v>
      </c>
      <c r="Z88" s="402">
        <v>2233111</v>
      </c>
      <c r="AA88" s="402">
        <v>27906660.120000001</v>
      </c>
    </row>
    <row r="89" spans="10:27" ht="15" customHeight="1" x14ac:dyDescent="0.25">
      <c r="J89" s="400" t="s">
        <v>336</v>
      </c>
      <c r="K89" s="406" t="s">
        <v>445</v>
      </c>
      <c r="L89" s="402" t="s">
        <v>446</v>
      </c>
      <c r="M89" s="402">
        <v>38080505.439999998</v>
      </c>
      <c r="N89" s="402">
        <v>39700106</v>
      </c>
      <c r="O89" s="402">
        <v>3897005.35</v>
      </c>
      <c r="P89" s="402">
        <v>2582450.16</v>
      </c>
      <c r="Q89" s="402">
        <v>3493862.93</v>
      </c>
      <c r="R89" s="402">
        <v>3485241.48</v>
      </c>
      <c r="S89" s="402">
        <v>3880027.93</v>
      </c>
      <c r="T89" s="402">
        <v>3823348.91</v>
      </c>
      <c r="U89" s="402">
        <v>3950015.68</v>
      </c>
      <c r="V89" s="402">
        <v>2629837</v>
      </c>
      <c r="W89" s="402">
        <v>2542525</v>
      </c>
      <c r="X89" s="402">
        <v>2631631</v>
      </c>
      <c r="Y89" s="402">
        <v>2539283</v>
      </c>
      <c r="Z89" s="402">
        <v>2625277</v>
      </c>
      <c r="AA89" s="402">
        <v>38080505.439999998</v>
      </c>
    </row>
    <row r="90" spans="10:27" ht="15" customHeight="1" x14ac:dyDescent="0.25">
      <c r="J90" s="400" t="s">
        <v>336</v>
      </c>
      <c r="K90" s="406" t="s">
        <v>447</v>
      </c>
      <c r="L90" s="402" t="s">
        <v>448</v>
      </c>
      <c r="M90" s="402">
        <v>-69055.33</v>
      </c>
      <c r="N90" s="402">
        <v>-57567</v>
      </c>
      <c r="O90" s="402">
        <v>-6892.7</v>
      </c>
      <c r="P90" s="402">
        <v>-6035.45</v>
      </c>
      <c r="Q90" s="402">
        <v>-6429.79</v>
      </c>
      <c r="R90" s="402">
        <v>-6204.06</v>
      </c>
      <c r="S90" s="402">
        <v>-6556.83</v>
      </c>
      <c r="T90" s="402">
        <v>-6718.61</v>
      </c>
      <c r="U90" s="402">
        <v>-6172.89</v>
      </c>
      <c r="V90" s="402">
        <v>-4664</v>
      </c>
      <c r="W90" s="402">
        <v>-4747</v>
      </c>
      <c r="X90" s="402">
        <v>-4982</v>
      </c>
      <c r="Y90" s="402">
        <v>-5030</v>
      </c>
      <c r="Z90" s="402">
        <v>-4622</v>
      </c>
      <c r="AA90" s="402">
        <v>-69055.33</v>
      </c>
    </row>
    <row r="91" spans="10:27" ht="15" customHeight="1" x14ac:dyDescent="0.25">
      <c r="J91" s="400" t="s">
        <v>336</v>
      </c>
      <c r="K91" s="406" t="s">
        <v>449</v>
      </c>
      <c r="L91" s="402" t="s">
        <v>450</v>
      </c>
      <c r="M91" s="402">
        <v>1274277.1499999999</v>
      </c>
      <c r="N91" s="402">
        <v>1062737</v>
      </c>
      <c r="O91" s="402">
        <v>127142.67</v>
      </c>
      <c r="P91" s="402">
        <v>111355.64</v>
      </c>
      <c r="Q91" s="402">
        <v>118673.99</v>
      </c>
      <c r="R91" s="402">
        <v>114450.4</v>
      </c>
      <c r="S91" s="402">
        <v>120968.39</v>
      </c>
      <c r="T91" s="402">
        <v>123926.6</v>
      </c>
      <c r="U91" s="402">
        <v>113851.46</v>
      </c>
      <c r="V91" s="402">
        <v>86103</v>
      </c>
      <c r="W91" s="402">
        <v>87639</v>
      </c>
      <c r="X91" s="402">
        <v>91983</v>
      </c>
      <c r="Y91" s="402">
        <v>92858</v>
      </c>
      <c r="Z91" s="402">
        <v>85325</v>
      </c>
      <c r="AA91" s="402">
        <v>1274277.1499999999</v>
      </c>
    </row>
    <row r="92" spans="10:27" ht="15" customHeight="1" x14ac:dyDescent="0.25">
      <c r="J92" s="400" t="s">
        <v>336</v>
      </c>
      <c r="K92" s="406" t="s">
        <v>451</v>
      </c>
      <c r="L92" s="402" t="s">
        <v>452</v>
      </c>
      <c r="M92" s="402">
        <v>492251.16</v>
      </c>
      <c r="N92" s="402">
        <v>263852</v>
      </c>
      <c r="O92" s="402">
        <v>62229.67</v>
      </c>
      <c r="P92" s="402">
        <v>41249.33</v>
      </c>
      <c r="Q92" s="402">
        <v>55734.53</v>
      </c>
      <c r="R92" s="402">
        <v>51249.66</v>
      </c>
      <c r="S92" s="402">
        <v>57016.86</v>
      </c>
      <c r="T92" s="402">
        <v>56030.59</v>
      </c>
      <c r="U92" s="402">
        <v>58139.519999999997</v>
      </c>
      <c r="V92" s="402">
        <v>22409</v>
      </c>
      <c r="W92" s="402">
        <v>21687</v>
      </c>
      <c r="X92" s="402">
        <v>22409</v>
      </c>
      <c r="Y92" s="402">
        <v>21687</v>
      </c>
      <c r="Z92" s="402">
        <v>22409</v>
      </c>
      <c r="AA92" s="402">
        <v>492251.16</v>
      </c>
    </row>
    <row r="93" spans="10:27" ht="15" customHeight="1" x14ac:dyDescent="0.25">
      <c r="J93" s="400" t="s">
        <v>336</v>
      </c>
      <c r="K93" s="406" t="s">
        <v>453</v>
      </c>
      <c r="L93" s="402" t="s">
        <v>454</v>
      </c>
      <c r="M93" s="402">
        <v>1455982.49</v>
      </c>
      <c r="N93" s="402">
        <v>1612032.83</v>
      </c>
      <c r="O93" s="402">
        <v>136592.06</v>
      </c>
      <c r="P93" s="402">
        <v>97203.68</v>
      </c>
      <c r="Q93" s="402">
        <v>124280.77</v>
      </c>
      <c r="R93" s="402">
        <v>119294.59</v>
      </c>
      <c r="S93" s="402">
        <v>132430.67000000001</v>
      </c>
      <c r="T93" s="402">
        <v>130887.02</v>
      </c>
      <c r="U93" s="402">
        <v>133779.98000000001</v>
      </c>
      <c r="V93" s="402">
        <v>115309.73</v>
      </c>
      <c r="W93" s="402">
        <v>114283.45</v>
      </c>
      <c r="X93" s="402">
        <v>119119.39</v>
      </c>
      <c r="Y93" s="402">
        <v>116940.19</v>
      </c>
      <c r="Z93" s="402">
        <v>115860.96</v>
      </c>
      <c r="AA93" s="402">
        <v>1455982.49</v>
      </c>
    </row>
    <row r="94" spans="10:27" ht="15" customHeight="1" x14ac:dyDescent="0.25">
      <c r="J94" s="400" t="s">
        <v>336</v>
      </c>
      <c r="K94" s="406" t="s">
        <v>455</v>
      </c>
      <c r="L94" s="402" t="s">
        <v>456</v>
      </c>
      <c r="M94" s="402">
        <v>252.08</v>
      </c>
      <c r="N94" s="402">
        <v>0</v>
      </c>
      <c r="O94" s="402">
        <v>252.08</v>
      </c>
      <c r="P94" s="402">
        <v>0</v>
      </c>
      <c r="Q94" s="402">
        <v>0</v>
      </c>
      <c r="R94" s="402">
        <v>0</v>
      </c>
      <c r="S94" s="402">
        <v>0</v>
      </c>
      <c r="T94" s="402">
        <v>0</v>
      </c>
      <c r="U94" s="402">
        <v>0</v>
      </c>
      <c r="V94" s="402">
        <v>0</v>
      </c>
      <c r="W94" s="402">
        <v>0</v>
      </c>
      <c r="X94" s="402">
        <v>0</v>
      </c>
      <c r="Y94" s="402">
        <v>0</v>
      </c>
      <c r="Z94" s="402">
        <v>0</v>
      </c>
      <c r="AA94" s="402">
        <v>252.08</v>
      </c>
    </row>
    <row r="95" spans="10:27" ht="15" customHeight="1" x14ac:dyDescent="0.25">
      <c r="J95" s="400" t="s">
        <v>336</v>
      </c>
      <c r="K95" s="406" t="s">
        <v>457</v>
      </c>
      <c r="L95" s="402" t="s">
        <v>458</v>
      </c>
      <c r="M95" s="402">
        <v>177656.24</v>
      </c>
      <c r="N95" s="402">
        <v>208391.98</v>
      </c>
      <c r="O95" s="402">
        <v>15361.45</v>
      </c>
      <c r="P95" s="402">
        <v>15197.45</v>
      </c>
      <c r="Q95" s="402">
        <v>14962.51</v>
      </c>
      <c r="R95" s="402">
        <v>13868.81</v>
      </c>
      <c r="S95" s="402">
        <v>14133.8</v>
      </c>
      <c r="T95" s="402">
        <v>14497.49</v>
      </c>
      <c r="U95" s="402">
        <v>14242.24</v>
      </c>
      <c r="V95" s="402">
        <v>12235.28</v>
      </c>
      <c r="W95" s="402">
        <v>15389.95</v>
      </c>
      <c r="X95" s="402">
        <v>15849.01</v>
      </c>
      <c r="Y95" s="402">
        <v>17165.22</v>
      </c>
      <c r="Z95" s="402">
        <v>14753.03</v>
      </c>
      <c r="AA95" s="402">
        <v>177656.24</v>
      </c>
    </row>
    <row r="96" spans="10:27" ht="15" customHeight="1" x14ac:dyDescent="0.25">
      <c r="J96" s="400" t="s">
        <v>336</v>
      </c>
      <c r="K96" s="406" t="s">
        <v>459</v>
      </c>
      <c r="L96" s="402" t="s">
        <v>460</v>
      </c>
      <c r="M96" s="402">
        <v>843056.04</v>
      </c>
      <c r="N96" s="402">
        <v>534739</v>
      </c>
      <c r="O96" s="402">
        <v>101314.64</v>
      </c>
      <c r="P96" s="402">
        <v>96328.03</v>
      </c>
      <c r="Q96" s="402">
        <v>97771.9</v>
      </c>
      <c r="R96" s="402">
        <v>93468.93</v>
      </c>
      <c r="S96" s="402">
        <v>95413.15</v>
      </c>
      <c r="T96" s="402">
        <v>97255.63</v>
      </c>
      <c r="U96" s="402">
        <v>93581.759999999995</v>
      </c>
      <c r="V96" s="402">
        <v>32348</v>
      </c>
      <c r="W96" s="402">
        <v>33689</v>
      </c>
      <c r="X96" s="402">
        <v>34593</v>
      </c>
      <c r="Y96" s="402">
        <v>35082</v>
      </c>
      <c r="Z96" s="402">
        <v>32210</v>
      </c>
      <c r="AA96" s="402">
        <v>843056.04</v>
      </c>
    </row>
    <row r="97" spans="10:27" ht="15" customHeight="1" x14ac:dyDescent="0.25">
      <c r="J97" s="400" t="s">
        <v>336</v>
      </c>
      <c r="K97" s="406" t="s">
        <v>461</v>
      </c>
      <c r="L97" s="402" t="s">
        <v>462</v>
      </c>
      <c r="M97" s="402">
        <v>130342.94</v>
      </c>
      <c r="N97" s="402">
        <v>0</v>
      </c>
      <c r="O97" s="402">
        <v>0</v>
      </c>
      <c r="P97" s="402">
        <v>0</v>
      </c>
      <c r="Q97" s="402">
        <v>0</v>
      </c>
      <c r="R97" s="402">
        <v>19678.080000000002</v>
      </c>
      <c r="S97" s="402">
        <v>21900.65</v>
      </c>
      <c r="T97" s="402">
        <v>21737.23</v>
      </c>
      <c r="U97" s="402">
        <v>22402.45</v>
      </c>
      <c r="V97" s="402">
        <v>9041.52</v>
      </c>
      <c r="W97" s="402">
        <v>8749.9599999999991</v>
      </c>
      <c r="X97" s="402">
        <v>9041.5400000000009</v>
      </c>
      <c r="Y97" s="402">
        <v>8749.9500000000007</v>
      </c>
      <c r="Z97" s="402">
        <v>9041.56</v>
      </c>
      <c r="AA97" s="402">
        <v>130342.94</v>
      </c>
    </row>
    <row r="98" spans="10:27" ht="15" customHeight="1" x14ac:dyDescent="0.2">
      <c r="J98" s="392" t="s">
        <v>336</v>
      </c>
      <c r="K98" s="403" t="s">
        <v>463</v>
      </c>
      <c r="L98" s="392" t="s">
        <v>464</v>
      </c>
      <c r="M98" s="393">
        <v>126340632.98</v>
      </c>
      <c r="N98" s="393">
        <v>149104763.5</v>
      </c>
      <c r="O98" s="393">
        <v>7584543.6200000001</v>
      </c>
      <c r="P98" s="393">
        <v>10977046.93</v>
      </c>
      <c r="Q98" s="393">
        <v>9565506.8699999992</v>
      </c>
      <c r="R98" s="393">
        <v>10282488.039999999</v>
      </c>
      <c r="S98" s="393">
        <v>10711594.199999999</v>
      </c>
      <c r="T98" s="393">
        <v>9079805.4700000007</v>
      </c>
      <c r="U98" s="393">
        <v>12170456.07</v>
      </c>
      <c r="V98" s="393">
        <v>11637475.939999999</v>
      </c>
      <c r="W98" s="393">
        <v>11564734.960000001</v>
      </c>
      <c r="X98" s="393">
        <v>11339198.76</v>
      </c>
      <c r="Y98" s="393">
        <v>10790669.01</v>
      </c>
      <c r="Z98" s="393">
        <v>10637113.109999999</v>
      </c>
      <c r="AA98" s="393">
        <v>126340632.98</v>
      </c>
    </row>
    <row r="99" spans="10:27" ht="15" customHeight="1" x14ac:dyDescent="0.2">
      <c r="J99" s="392" t="s">
        <v>336</v>
      </c>
      <c r="K99" s="405" t="s">
        <v>465</v>
      </c>
      <c r="L99" s="392" t="s">
        <v>466</v>
      </c>
      <c r="M99" s="393">
        <v>1749271.75</v>
      </c>
      <c r="N99" s="393">
        <v>0</v>
      </c>
      <c r="O99" s="393">
        <v>213476.74</v>
      </c>
      <c r="P99" s="393">
        <v>210946.77</v>
      </c>
      <c r="Q99" s="393">
        <v>219027</v>
      </c>
      <c r="R99" s="393">
        <v>252041.99</v>
      </c>
      <c r="S99" s="393">
        <v>268380.28000000003</v>
      </c>
      <c r="T99" s="393">
        <v>280021.34000000003</v>
      </c>
      <c r="U99" s="393">
        <v>305377.63</v>
      </c>
      <c r="V99" s="393">
        <v>0</v>
      </c>
      <c r="W99" s="393">
        <v>0</v>
      </c>
      <c r="X99" s="393">
        <v>0</v>
      </c>
      <c r="Y99" s="393">
        <v>0</v>
      </c>
      <c r="Z99" s="393">
        <v>0</v>
      </c>
      <c r="AA99" s="393">
        <v>1749271.75</v>
      </c>
    </row>
    <row r="100" spans="10:27" ht="15" customHeight="1" x14ac:dyDescent="0.25">
      <c r="J100" s="400" t="s">
        <v>336</v>
      </c>
      <c r="K100" s="406" t="s">
        <v>467</v>
      </c>
      <c r="L100" s="402" t="s">
        <v>468</v>
      </c>
      <c r="M100" s="402">
        <v>1047064.88</v>
      </c>
      <c r="N100" s="402">
        <v>0</v>
      </c>
      <c r="O100" s="402">
        <v>136637.07999999999</v>
      </c>
      <c r="P100" s="402">
        <v>135557.66</v>
      </c>
      <c r="Q100" s="402">
        <v>139170.42000000001</v>
      </c>
      <c r="R100" s="402">
        <v>147278.84</v>
      </c>
      <c r="S100" s="402">
        <v>155263.6</v>
      </c>
      <c r="T100" s="402">
        <v>160410.13</v>
      </c>
      <c r="U100" s="402">
        <v>172747.15</v>
      </c>
      <c r="V100" s="402">
        <v>0</v>
      </c>
      <c r="W100" s="402">
        <v>0</v>
      </c>
      <c r="X100" s="402">
        <v>0</v>
      </c>
      <c r="Y100" s="402">
        <v>0</v>
      </c>
      <c r="Z100" s="402">
        <v>0</v>
      </c>
      <c r="AA100" s="402">
        <v>1047064.88</v>
      </c>
    </row>
    <row r="101" spans="10:27" ht="15" customHeight="1" x14ac:dyDescent="0.25">
      <c r="J101" s="400" t="s">
        <v>336</v>
      </c>
      <c r="K101" s="406" t="s">
        <v>469</v>
      </c>
      <c r="L101" s="402" t="s">
        <v>470</v>
      </c>
      <c r="M101" s="402">
        <v>452568.97</v>
      </c>
      <c r="N101" s="402">
        <v>0</v>
      </c>
      <c r="O101" s="402">
        <v>53056.52</v>
      </c>
      <c r="P101" s="402">
        <v>52013.07</v>
      </c>
      <c r="Q101" s="402">
        <v>55162.13</v>
      </c>
      <c r="R101" s="402">
        <v>65051.65</v>
      </c>
      <c r="S101" s="402">
        <v>70276.600000000006</v>
      </c>
      <c r="T101" s="402">
        <v>74400.23</v>
      </c>
      <c r="U101" s="402">
        <v>82608.77</v>
      </c>
      <c r="V101" s="402">
        <v>0</v>
      </c>
      <c r="W101" s="402">
        <v>0</v>
      </c>
      <c r="X101" s="402">
        <v>0</v>
      </c>
      <c r="Y101" s="402">
        <v>0</v>
      </c>
      <c r="Z101" s="402">
        <v>0</v>
      </c>
      <c r="AA101" s="402">
        <v>452568.97</v>
      </c>
    </row>
    <row r="102" spans="10:27" ht="15" customHeight="1" x14ac:dyDescent="0.25">
      <c r="J102" s="400" t="s">
        <v>336</v>
      </c>
      <c r="K102" s="406" t="s">
        <v>471</v>
      </c>
      <c r="L102" s="402" t="s">
        <v>472</v>
      </c>
      <c r="M102" s="402">
        <v>-1358.63</v>
      </c>
      <c r="N102" s="402">
        <v>0</v>
      </c>
      <c r="O102" s="402">
        <v>-167.25</v>
      </c>
      <c r="P102" s="402">
        <v>-163.27000000000001</v>
      </c>
      <c r="Q102" s="402">
        <v>-174.5</v>
      </c>
      <c r="R102" s="402">
        <v>-191.66</v>
      </c>
      <c r="S102" s="402">
        <v>-194.04</v>
      </c>
      <c r="T102" s="402">
        <v>-222.52</v>
      </c>
      <c r="U102" s="402">
        <v>-245.39</v>
      </c>
      <c r="V102" s="402">
        <v>0</v>
      </c>
      <c r="W102" s="402">
        <v>0</v>
      </c>
      <c r="X102" s="402">
        <v>0</v>
      </c>
      <c r="Y102" s="402">
        <v>0</v>
      </c>
      <c r="Z102" s="402">
        <v>0</v>
      </c>
      <c r="AA102" s="402">
        <v>-1358.63</v>
      </c>
    </row>
    <row r="103" spans="10:27" ht="15" customHeight="1" x14ac:dyDescent="0.25">
      <c r="J103" s="400" t="s">
        <v>336</v>
      </c>
      <c r="K103" s="406" t="s">
        <v>473</v>
      </c>
      <c r="L103" s="402" t="s">
        <v>474</v>
      </c>
      <c r="M103" s="402">
        <v>24286.44</v>
      </c>
      <c r="N103" s="402">
        <v>0</v>
      </c>
      <c r="O103" s="402">
        <v>2994</v>
      </c>
      <c r="P103" s="402">
        <v>2934.18</v>
      </c>
      <c r="Q103" s="402">
        <v>3113.78</v>
      </c>
      <c r="R103" s="402">
        <v>3388.83</v>
      </c>
      <c r="S103" s="402">
        <v>3663.25</v>
      </c>
      <c r="T103" s="402">
        <v>3880.82</v>
      </c>
      <c r="U103" s="402">
        <v>4311.58</v>
      </c>
      <c r="V103" s="402">
        <v>0</v>
      </c>
      <c r="W103" s="402">
        <v>0</v>
      </c>
      <c r="X103" s="402">
        <v>0</v>
      </c>
      <c r="Y103" s="402">
        <v>0</v>
      </c>
      <c r="Z103" s="402">
        <v>0</v>
      </c>
      <c r="AA103" s="402">
        <v>24286.44</v>
      </c>
    </row>
    <row r="104" spans="10:27" ht="15" customHeight="1" x14ac:dyDescent="0.25">
      <c r="J104" s="400" t="s">
        <v>336</v>
      </c>
      <c r="K104" s="406" t="s">
        <v>475</v>
      </c>
      <c r="L104" s="402" t="s">
        <v>476</v>
      </c>
      <c r="M104" s="402">
        <v>7801.01</v>
      </c>
      <c r="N104" s="402">
        <v>0</v>
      </c>
      <c r="O104" s="402">
        <v>956.29</v>
      </c>
      <c r="P104" s="402">
        <v>935.86</v>
      </c>
      <c r="Q104" s="402">
        <v>995.35</v>
      </c>
      <c r="R104" s="402">
        <v>1085.31</v>
      </c>
      <c r="S104" s="402">
        <v>1189.49</v>
      </c>
      <c r="T104" s="402">
        <v>1247.23</v>
      </c>
      <c r="U104" s="402">
        <v>1391.48</v>
      </c>
      <c r="V104" s="402">
        <v>0</v>
      </c>
      <c r="W104" s="402">
        <v>0</v>
      </c>
      <c r="X104" s="402">
        <v>0</v>
      </c>
      <c r="Y104" s="402">
        <v>0</v>
      </c>
      <c r="Z104" s="402">
        <v>0</v>
      </c>
      <c r="AA104" s="402">
        <v>7801.01</v>
      </c>
    </row>
    <row r="105" spans="10:27" ht="15" customHeight="1" x14ac:dyDescent="0.25">
      <c r="J105" s="400" t="s">
        <v>336</v>
      </c>
      <c r="K105" s="406" t="s">
        <v>477</v>
      </c>
      <c r="L105" s="402" t="s">
        <v>478</v>
      </c>
      <c r="M105" s="402">
        <v>49191.9</v>
      </c>
      <c r="N105" s="402">
        <v>0</v>
      </c>
      <c r="O105" s="402">
        <v>5897.01</v>
      </c>
      <c r="P105" s="402">
        <v>5827.79</v>
      </c>
      <c r="Q105" s="402">
        <v>6176.35</v>
      </c>
      <c r="R105" s="402">
        <v>7060.44</v>
      </c>
      <c r="S105" s="402">
        <v>7726.54</v>
      </c>
      <c r="T105" s="402">
        <v>7880.67</v>
      </c>
      <c r="U105" s="402">
        <v>8623.1</v>
      </c>
      <c r="V105" s="402">
        <v>0</v>
      </c>
      <c r="W105" s="402">
        <v>0</v>
      </c>
      <c r="X105" s="402">
        <v>0</v>
      </c>
      <c r="Y105" s="402">
        <v>0</v>
      </c>
      <c r="Z105" s="402">
        <v>0</v>
      </c>
      <c r="AA105" s="402">
        <v>49191.9</v>
      </c>
    </row>
    <row r="106" spans="10:27" ht="15" customHeight="1" x14ac:dyDescent="0.25">
      <c r="J106" s="400" t="s">
        <v>336</v>
      </c>
      <c r="K106" s="406" t="s">
        <v>479</v>
      </c>
      <c r="L106" s="402" t="s">
        <v>480</v>
      </c>
      <c r="M106" s="402">
        <v>34481.39</v>
      </c>
      <c r="N106" s="402">
        <v>0</v>
      </c>
      <c r="O106" s="402">
        <v>4056.67</v>
      </c>
      <c r="P106" s="402">
        <v>3952.53</v>
      </c>
      <c r="Q106" s="402">
        <v>4175.5600000000004</v>
      </c>
      <c r="R106" s="402">
        <v>4974.68</v>
      </c>
      <c r="S106" s="402">
        <v>5357.7</v>
      </c>
      <c r="T106" s="402">
        <v>5680.07</v>
      </c>
      <c r="U106" s="402">
        <v>6284.18</v>
      </c>
      <c r="V106" s="402">
        <v>0</v>
      </c>
      <c r="W106" s="402">
        <v>0</v>
      </c>
      <c r="X106" s="402">
        <v>0</v>
      </c>
      <c r="Y106" s="402">
        <v>0</v>
      </c>
      <c r="Z106" s="402">
        <v>0</v>
      </c>
      <c r="AA106" s="402">
        <v>34481.39</v>
      </c>
    </row>
    <row r="107" spans="10:27" ht="15" customHeight="1" x14ac:dyDescent="0.25">
      <c r="J107" s="400" t="s">
        <v>336</v>
      </c>
      <c r="K107" s="406" t="s">
        <v>481</v>
      </c>
      <c r="L107" s="402" t="s">
        <v>482</v>
      </c>
      <c r="M107" s="402">
        <v>46122.39</v>
      </c>
      <c r="N107" s="402">
        <v>0</v>
      </c>
      <c r="O107" s="402">
        <v>5899.8</v>
      </c>
      <c r="P107" s="402">
        <v>5846.58</v>
      </c>
      <c r="Q107" s="402">
        <v>6075.54</v>
      </c>
      <c r="R107" s="402">
        <v>6476.69</v>
      </c>
      <c r="S107" s="402">
        <v>6892.52</v>
      </c>
      <c r="T107" s="402">
        <v>7142.35</v>
      </c>
      <c r="U107" s="402">
        <v>7788.91</v>
      </c>
      <c r="V107" s="402">
        <v>0</v>
      </c>
      <c r="W107" s="402">
        <v>0</v>
      </c>
      <c r="X107" s="402">
        <v>0</v>
      </c>
      <c r="Y107" s="402">
        <v>0</v>
      </c>
      <c r="Z107" s="402">
        <v>0</v>
      </c>
      <c r="AA107" s="402">
        <v>46122.39</v>
      </c>
    </row>
    <row r="108" spans="10:27" ht="15" customHeight="1" x14ac:dyDescent="0.25">
      <c r="J108" s="400" t="s">
        <v>336</v>
      </c>
      <c r="K108" s="406" t="s">
        <v>483</v>
      </c>
      <c r="L108" s="402" t="s">
        <v>484</v>
      </c>
      <c r="M108" s="402">
        <v>34218.28</v>
      </c>
      <c r="N108" s="402">
        <v>0</v>
      </c>
      <c r="O108" s="402">
        <v>4146.62</v>
      </c>
      <c r="P108" s="402">
        <v>4042.37</v>
      </c>
      <c r="Q108" s="402">
        <v>4332.37</v>
      </c>
      <c r="R108" s="402">
        <v>4758.99</v>
      </c>
      <c r="S108" s="402">
        <v>5193.8</v>
      </c>
      <c r="T108" s="402">
        <v>5539.24</v>
      </c>
      <c r="U108" s="402">
        <v>6204.89</v>
      </c>
      <c r="V108" s="402">
        <v>0</v>
      </c>
      <c r="W108" s="402">
        <v>0</v>
      </c>
      <c r="X108" s="402">
        <v>0</v>
      </c>
      <c r="Y108" s="402">
        <v>0</v>
      </c>
      <c r="Z108" s="402">
        <v>0</v>
      </c>
      <c r="AA108" s="402">
        <v>34218.28</v>
      </c>
    </row>
    <row r="109" spans="10:27" ht="15" customHeight="1" x14ac:dyDescent="0.25">
      <c r="J109" s="400" t="s">
        <v>336</v>
      </c>
      <c r="K109" s="406" t="s">
        <v>485</v>
      </c>
      <c r="L109" s="402" t="s">
        <v>486</v>
      </c>
      <c r="M109" s="402">
        <v>54895.12</v>
      </c>
      <c r="N109" s="402">
        <v>0</v>
      </c>
      <c r="O109" s="402">
        <v>0</v>
      </c>
      <c r="P109" s="402">
        <v>0</v>
      </c>
      <c r="Q109" s="402">
        <v>0</v>
      </c>
      <c r="R109" s="402">
        <v>12158.22</v>
      </c>
      <c r="S109" s="402">
        <v>13010.82</v>
      </c>
      <c r="T109" s="402">
        <v>14063.12</v>
      </c>
      <c r="U109" s="402">
        <v>15662.96</v>
      </c>
      <c r="V109" s="402">
        <v>0</v>
      </c>
      <c r="W109" s="402">
        <v>0</v>
      </c>
      <c r="X109" s="402">
        <v>0</v>
      </c>
      <c r="Y109" s="402">
        <v>0</v>
      </c>
      <c r="Z109" s="402">
        <v>0</v>
      </c>
      <c r="AA109" s="402">
        <v>54895.12</v>
      </c>
    </row>
    <row r="110" spans="10:27" ht="15" customHeight="1" x14ac:dyDescent="0.2">
      <c r="J110" s="392" t="s">
        <v>336</v>
      </c>
      <c r="K110" s="405" t="s">
        <v>487</v>
      </c>
      <c r="L110" s="392" t="s">
        <v>488</v>
      </c>
      <c r="M110" s="393">
        <v>124591361.23</v>
      </c>
      <c r="N110" s="393">
        <v>149104763.5</v>
      </c>
      <c r="O110" s="393">
        <v>7371066.8799999999</v>
      </c>
      <c r="P110" s="393">
        <v>10766100.16</v>
      </c>
      <c r="Q110" s="393">
        <v>9346479.8699999992</v>
      </c>
      <c r="R110" s="393">
        <v>10030446.050000001</v>
      </c>
      <c r="S110" s="393">
        <v>10443213.92</v>
      </c>
      <c r="T110" s="393">
        <v>8799784.1300000008</v>
      </c>
      <c r="U110" s="393">
        <v>11865078.439999999</v>
      </c>
      <c r="V110" s="393">
        <v>11637475.939999999</v>
      </c>
      <c r="W110" s="393">
        <v>11564734.960000001</v>
      </c>
      <c r="X110" s="393">
        <v>11339198.76</v>
      </c>
      <c r="Y110" s="393">
        <v>10790669.01</v>
      </c>
      <c r="Z110" s="393">
        <v>10637113.109999999</v>
      </c>
      <c r="AA110" s="393">
        <v>124591361.23</v>
      </c>
    </row>
    <row r="111" spans="10:27" ht="15" customHeight="1" x14ac:dyDescent="0.25">
      <c r="J111" s="400" t="s">
        <v>336</v>
      </c>
      <c r="K111" s="406" t="s">
        <v>489</v>
      </c>
      <c r="L111" s="402" t="s">
        <v>490</v>
      </c>
      <c r="M111" s="402">
        <v>47442189.369999997</v>
      </c>
      <c r="N111" s="402">
        <v>50290724</v>
      </c>
      <c r="O111" s="402">
        <v>2924719.71</v>
      </c>
      <c r="P111" s="402">
        <v>4202036.47</v>
      </c>
      <c r="Q111" s="402">
        <v>3665478.62</v>
      </c>
      <c r="R111" s="402">
        <v>3699037.03</v>
      </c>
      <c r="S111" s="402">
        <v>3797514.67</v>
      </c>
      <c r="T111" s="402">
        <v>3287876.26</v>
      </c>
      <c r="U111" s="402">
        <v>4237802.6100000003</v>
      </c>
      <c r="V111" s="402">
        <v>4461103</v>
      </c>
      <c r="W111" s="402">
        <v>4420982</v>
      </c>
      <c r="X111" s="402">
        <v>4413748</v>
      </c>
      <c r="Y111" s="402">
        <v>4213100</v>
      </c>
      <c r="Z111" s="402">
        <v>4118791</v>
      </c>
      <c r="AA111" s="402">
        <v>47442189.369999997</v>
      </c>
    </row>
    <row r="112" spans="10:27" ht="15" customHeight="1" x14ac:dyDescent="0.25">
      <c r="J112" s="400" t="s">
        <v>336</v>
      </c>
      <c r="K112" s="406" t="s">
        <v>491</v>
      </c>
      <c r="L112" s="402" t="s">
        <v>492</v>
      </c>
      <c r="M112" s="402">
        <v>60371199.600000001</v>
      </c>
      <c r="N112" s="402">
        <v>81836513</v>
      </c>
      <c r="O112" s="402">
        <v>3527411.41</v>
      </c>
      <c r="P112" s="402">
        <v>5231582.26</v>
      </c>
      <c r="Q112" s="402">
        <v>4532147.46</v>
      </c>
      <c r="R112" s="402">
        <v>4948167.3499999996</v>
      </c>
      <c r="S112" s="402">
        <v>5203238.6100000003</v>
      </c>
      <c r="T112" s="402">
        <v>4321653.01</v>
      </c>
      <c r="U112" s="402">
        <v>5971972.5</v>
      </c>
      <c r="V112" s="402">
        <v>5571547</v>
      </c>
      <c r="W112" s="402">
        <v>5545850</v>
      </c>
      <c r="X112" s="402">
        <v>5362084</v>
      </c>
      <c r="Y112" s="402">
        <v>5108378</v>
      </c>
      <c r="Z112" s="402">
        <v>5047168</v>
      </c>
      <c r="AA112" s="402">
        <v>60371199.600000001</v>
      </c>
    </row>
    <row r="113" spans="10:27" ht="15" customHeight="1" x14ac:dyDescent="0.25">
      <c r="J113" s="400" t="s">
        <v>336</v>
      </c>
      <c r="K113" s="406" t="s">
        <v>493</v>
      </c>
      <c r="L113" s="402" t="s">
        <v>494</v>
      </c>
      <c r="M113" s="402">
        <v>-146388.54999999999</v>
      </c>
      <c r="N113" s="402">
        <v>-155101</v>
      </c>
      <c r="O113" s="402">
        <v>-14294.32</v>
      </c>
      <c r="P113" s="402">
        <v>-8523.76</v>
      </c>
      <c r="Q113" s="402">
        <v>-11645.81</v>
      </c>
      <c r="R113" s="402">
        <v>-11796.55</v>
      </c>
      <c r="S113" s="402">
        <v>-11954.78</v>
      </c>
      <c r="T113" s="402">
        <v>-10278.36</v>
      </c>
      <c r="U113" s="402">
        <v>-13398.97</v>
      </c>
      <c r="V113" s="402">
        <v>-13385</v>
      </c>
      <c r="W113" s="402">
        <v>-13313</v>
      </c>
      <c r="X113" s="402">
        <v>-13209</v>
      </c>
      <c r="Y113" s="402">
        <v>-12196</v>
      </c>
      <c r="Z113" s="402">
        <v>-12393</v>
      </c>
      <c r="AA113" s="402">
        <v>-146388.54999999999</v>
      </c>
    </row>
    <row r="114" spans="10:27" ht="15" customHeight="1" x14ac:dyDescent="0.25">
      <c r="J114" s="400" t="s">
        <v>336</v>
      </c>
      <c r="K114" s="406" t="s">
        <v>495</v>
      </c>
      <c r="L114" s="402" t="s">
        <v>496</v>
      </c>
      <c r="M114" s="402">
        <v>2229459.94</v>
      </c>
      <c r="N114" s="402">
        <v>2370142</v>
      </c>
      <c r="O114" s="402">
        <v>143323.28</v>
      </c>
      <c r="P114" s="402">
        <v>203626.36</v>
      </c>
      <c r="Q114" s="402">
        <v>177134.63</v>
      </c>
      <c r="R114" s="402">
        <v>179363.28</v>
      </c>
      <c r="S114" s="402">
        <v>181499.32</v>
      </c>
      <c r="T114" s="402">
        <v>156864.85</v>
      </c>
      <c r="U114" s="402">
        <v>202837.22</v>
      </c>
      <c r="V114" s="402">
        <v>204465</v>
      </c>
      <c r="W114" s="402">
        <v>203025</v>
      </c>
      <c r="X114" s="402">
        <v>201802</v>
      </c>
      <c r="Y114" s="402">
        <v>186183</v>
      </c>
      <c r="Z114" s="402">
        <v>189336</v>
      </c>
      <c r="AA114" s="402">
        <v>2229459.94</v>
      </c>
    </row>
    <row r="115" spans="10:27" ht="15" customHeight="1" x14ac:dyDescent="0.25">
      <c r="J115" s="400" t="s">
        <v>336</v>
      </c>
      <c r="K115" s="406" t="s">
        <v>497</v>
      </c>
      <c r="L115" s="402" t="s">
        <v>498</v>
      </c>
      <c r="M115" s="402">
        <v>962082.48</v>
      </c>
      <c r="N115" s="402">
        <v>991618</v>
      </c>
      <c r="O115" s="402">
        <v>52042.34</v>
      </c>
      <c r="P115" s="402">
        <v>96930.26</v>
      </c>
      <c r="Q115" s="402">
        <v>77047.81</v>
      </c>
      <c r="R115" s="402">
        <v>77645.98</v>
      </c>
      <c r="S115" s="402">
        <v>81538.11</v>
      </c>
      <c r="T115" s="402">
        <v>67477.14</v>
      </c>
      <c r="U115" s="402">
        <v>93959.84</v>
      </c>
      <c r="V115" s="402">
        <v>86748</v>
      </c>
      <c r="W115" s="402">
        <v>86464</v>
      </c>
      <c r="X115" s="402">
        <v>83380</v>
      </c>
      <c r="Y115" s="402">
        <v>79599</v>
      </c>
      <c r="Z115" s="402">
        <v>79250</v>
      </c>
      <c r="AA115" s="402">
        <v>962082.48</v>
      </c>
    </row>
    <row r="116" spans="10:27" ht="15" customHeight="1" x14ac:dyDescent="0.25">
      <c r="J116" s="400" t="s">
        <v>336</v>
      </c>
      <c r="K116" s="406" t="s">
        <v>499</v>
      </c>
      <c r="L116" s="402" t="s">
        <v>500</v>
      </c>
      <c r="M116" s="402">
        <v>4788597.49</v>
      </c>
      <c r="N116" s="402">
        <v>5765715.7000000002</v>
      </c>
      <c r="O116" s="402">
        <v>287999.19</v>
      </c>
      <c r="P116" s="402">
        <v>420724.97</v>
      </c>
      <c r="Q116" s="402">
        <v>357941.98</v>
      </c>
      <c r="R116" s="402">
        <v>378908.15999999997</v>
      </c>
      <c r="S116" s="402">
        <v>408725.07</v>
      </c>
      <c r="T116" s="402">
        <v>317473.5</v>
      </c>
      <c r="U116" s="402">
        <v>482448.09</v>
      </c>
      <c r="V116" s="402">
        <v>445200.66</v>
      </c>
      <c r="W116" s="402">
        <v>441446.68</v>
      </c>
      <c r="X116" s="402">
        <v>432260.83</v>
      </c>
      <c r="Y116" s="402">
        <v>408317.82</v>
      </c>
      <c r="Z116" s="402">
        <v>407150.54</v>
      </c>
      <c r="AA116" s="402">
        <v>4788597.49</v>
      </c>
    </row>
    <row r="117" spans="10:27" ht="15" customHeight="1" x14ac:dyDescent="0.25">
      <c r="J117" s="400" t="s">
        <v>336</v>
      </c>
      <c r="K117" s="406" t="s">
        <v>501</v>
      </c>
      <c r="L117" s="402" t="s">
        <v>502</v>
      </c>
      <c r="M117" s="402">
        <v>2888004.04</v>
      </c>
      <c r="N117" s="402">
        <v>3566013.18</v>
      </c>
      <c r="O117" s="402">
        <v>177212.91</v>
      </c>
      <c r="P117" s="402">
        <v>236308.81</v>
      </c>
      <c r="Q117" s="402">
        <v>213140.64</v>
      </c>
      <c r="R117" s="402">
        <v>229573.16</v>
      </c>
      <c r="S117" s="402">
        <v>238792.42</v>
      </c>
      <c r="T117" s="402">
        <v>202181.42</v>
      </c>
      <c r="U117" s="402">
        <v>270713.14</v>
      </c>
      <c r="V117" s="402">
        <v>275350.28000000003</v>
      </c>
      <c r="W117" s="402">
        <v>273028.5</v>
      </c>
      <c r="X117" s="402">
        <v>267347.18</v>
      </c>
      <c r="Y117" s="402">
        <v>252538.76</v>
      </c>
      <c r="Z117" s="402">
        <v>251816.82</v>
      </c>
      <c r="AA117" s="402">
        <v>2888004.04</v>
      </c>
    </row>
    <row r="118" spans="10:27" ht="15" customHeight="1" x14ac:dyDescent="0.25">
      <c r="J118" s="400" t="s">
        <v>336</v>
      </c>
      <c r="K118" s="406" t="s">
        <v>503</v>
      </c>
      <c r="L118" s="402" t="s">
        <v>504</v>
      </c>
      <c r="M118" s="402">
        <v>104.88</v>
      </c>
      <c r="N118" s="402">
        <v>0</v>
      </c>
      <c r="O118" s="402">
        <v>-2840.74</v>
      </c>
      <c r="P118" s="402">
        <v>2945.62</v>
      </c>
      <c r="Q118" s="402">
        <v>0</v>
      </c>
      <c r="R118" s="402">
        <v>0</v>
      </c>
      <c r="S118" s="402">
        <v>0</v>
      </c>
      <c r="T118" s="402">
        <v>0</v>
      </c>
      <c r="U118" s="402">
        <v>0</v>
      </c>
      <c r="V118" s="402">
        <v>0</v>
      </c>
      <c r="W118" s="402">
        <v>0</v>
      </c>
      <c r="X118" s="402">
        <v>0</v>
      </c>
      <c r="Y118" s="402">
        <v>0</v>
      </c>
      <c r="Z118" s="402">
        <v>0</v>
      </c>
      <c r="AA118" s="402">
        <v>104.88</v>
      </c>
    </row>
    <row r="119" spans="10:27" ht="15" customHeight="1" x14ac:dyDescent="0.25">
      <c r="J119" s="400" t="s">
        <v>336</v>
      </c>
      <c r="K119" s="406" t="s">
        <v>505</v>
      </c>
      <c r="L119" s="402" t="s">
        <v>506</v>
      </c>
      <c r="M119" s="402">
        <v>1512796.32</v>
      </c>
      <c r="N119" s="402">
        <v>1659114.62</v>
      </c>
      <c r="O119" s="402">
        <v>96930.8</v>
      </c>
      <c r="P119" s="402">
        <v>135546.92000000001</v>
      </c>
      <c r="Q119" s="402">
        <v>118959.48</v>
      </c>
      <c r="R119" s="402">
        <v>120402.7</v>
      </c>
      <c r="S119" s="402">
        <v>121548.19</v>
      </c>
      <c r="T119" s="402">
        <v>103937.62</v>
      </c>
      <c r="U119" s="402">
        <v>136162.70000000001</v>
      </c>
      <c r="V119" s="402">
        <v>140153.97</v>
      </c>
      <c r="W119" s="402">
        <v>140760.62</v>
      </c>
      <c r="X119" s="402">
        <v>138543.59</v>
      </c>
      <c r="Y119" s="402">
        <v>128600.13</v>
      </c>
      <c r="Z119" s="402">
        <v>131249.60000000001</v>
      </c>
      <c r="AA119" s="402">
        <v>1512796.32</v>
      </c>
    </row>
    <row r="120" spans="10:27" ht="15" customHeight="1" x14ac:dyDescent="0.25">
      <c r="J120" s="400" t="s">
        <v>336</v>
      </c>
      <c r="K120" s="406" t="s">
        <v>507</v>
      </c>
      <c r="L120" s="402" t="s">
        <v>508</v>
      </c>
      <c r="M120" s="402">
        <v>2684921.31</v>
      </c>
      <c r="N120" s="402">
        <v>2780024</v>
      </c>
      <c r="O120" s="402">
        <v>178562.3</v>
      </c>
      <c r="P120" s="402">
        <v>244922.25</v>
      </c>
      <c r="Q120" s="402">
        <v>216275.06</v>
      </c>
      <c r="R120" s="402">
        <v>218962.38</v>
      </c>
      <c r="S120" s="402">
        <v>221640.88</v>
      </c>
      <c r="T120" s="402">
        <v>190215.79</v>
      </c>
      <c r="U120" s="402">
        <v>248197.65</v>
      </c>
      <c r="V120" s="402">
        <v>241634</v>
      </c>
      <c r="W120" s="402">
        <v>241517</v>
      </c>
      <c r="X120" s="402">
        <v>238307</v>
      </c>
      <c r="Y120" s="402">
        <v>220544</v>
      </c>
      <c r="Z120" s="402">
        <v>224143</v>
      </c>
      <c r="AA120" s="402">
        <v>2684921.31</v>
      </c>
    </row>
    <row r="121" spans="10:27" ht="15" customHeight="1" x14ac:dyDescent="0.25">
      <c r="J121" s="400" t="s">
        <v>336</v>
      </c>
      <c r="K121" s="406" t="s">
        <v>509</v>
      </c>
      <c r="L121" s="402" t="s">
        <v>510</v>
      </c>
      <c r="M121" s="402">
        <v>1858394.35</v>
      </c>
      <c r="N121" s="402">
        <v>0</v>
      </c>
      <c r="O121" s="402">
        <v>0</v>
      </c>
      <c r="P121" s="402">
        <v>0</v>
      </c>
      <c r="Q121" s="402">
        <v>0</v>
      </c>
      <c r="R121" s="402">
        <v>190182.56</v>
      </c>
      <c r="S121" s="402">
        <v>200671.43</v>
      </c>
      <c r="T121" s="402">
        <v>162382.9</v>
      </c>
      <c r="U121" s="402">
        <v>234383.66</v>
      </c>
      <c r="V121" s="402">
        <v>224659.03</v>
      </c>
      <c r="W121" s="402">
        <v>224974.16</v>
      </c>
      <c r="X121" s="402">
        <v>214935.16</v>
      </c>
      <c r="Y121" s="402">
        <v>205604.3</v>
      </c>
      <c r="Z121" s="402">
        <v>200601.15</v>
      </c>
      <c r="AA121" s="402">
        <v>1858394.35</v>
      </c>
    </row>
    <row r="122" spans="10:27" ht="15" customHeight="1" x14ac:dyDescent="0.2">
      <c r="J122" s="392" t="s">
        <v>336</v>
      </c>
      <c r="K122" s="399" t="s">
        <v>511</v>
      </c>
      <c r="L122" s="392" t="s">
        <v>512</v>
      </c>
      <c r="M122" s="393">
        <v>23514767.07</v>
      </c>
      <c r="N122" s="393">
        <v>0</v>
      </c>
      <c r="O122" s="393">
        <v>3338233.86</v>
      </c>
      <c r="P122" s="393">
        <v>3358317.5</v>
      </c>
      <c r="Q122" s="393">
        <v>3322801.69</v>
      </c>
      <c r="R122" s="393">
        <v>3389262.46</v>
      </c>
      <c r="S122" s="393">
        <v>3372625.47</v>
      </c>
      <c r="T122" s="393">
        <v>3361749.52</v>
      </c>
      <c r="U122" s="393">
        <v>3371776.57</v>
      </c>
      <c r="V122" s="393">
        <v>0</v>
      </c>
      <c r="W122" s="393">
        <v>0</v>
      </c>
      <c r="X122" s="393">
        <v>0</v>
      </c>
      <c r="Y122" s="393">
        <v>0</v>
      </c>
      <c r="Z122" s="393">
        <v>0</v>
      </c>
      <c r="AA122" s="393">
        <v>23514767.07</v>
      </c>
    </row>
    <row r="123" spans="10:27" ht="15" customHeight="1" x14ac:dyDescent="0.2">
      <c r="J123" s="392" t="s">
        <v>336</v>
      </c>
      <c r="K123" s="403" t="s">
        <v>513</v>
      </c>
      <c r="L123" s="392" t="s">
        <v>512</v>
      </c>
      <c r="M123" s="393">
        <v>23514767.07</v>
      </c>
      <c r="N123" s="393">
        <v>0</v>
      </c>
      <c r="O123" s="393">
        <v>3338233.86</v>
      </c>
      <c r="P123" s="393">
        <v>3358317.5</v>
      </c>
      <c r="Q123" s="393">
        <v>3322801.69</v>
      </c>
      <c r="R123" s="393">
        <v>3389262.46</v>
      </c>
      <c r="S123" s="393">
        <v>3372625.47</v>
      </c>
      <c r="T123" s="393">
        <v>3361749.52</v>
      </c>
      <c r="U123" s="393">
        <v>3371776.57</v>
      </c>
      <c r="V123" s="393">
        <v>0</v>
      </c>
      <c r="W123" s="393">
        <v>0</v>
      </c>
      <c r="X123" s="393">
        <v>0</v>
      </c>
      <c r="Y123" s="393">
        <v>0</v>
      </c>
      <c r="Z123" s="393">
        <v>0</v>
      </c>
      <c r="AA123" s="393">
        <v>23514767.07</v>
      </c>
    </row>
    <row r="124" spans="10:27" ht="15" customHeight="1" x14ac:dyDescent="0.25">
      <c r="J124" s="400" t="s">
        <v>336</v>
      </c>
      <c r="K124" s="404" t="s">
        <v>514</v>
      </c>
      <c r="L124" s="402" t="s">
        <v>515</v>
      </c>
      <c r="M124" s="402">
        <v>20708884.41</v>
      </c>
      <c r="N124" s="402">
        <v>0</v>
      </c>
      <c r="O124" s="402">
        <v>2940906.46</v>
      </c>
      <c r="P124" s="402">
        <v>2965328.77</v>
      </c>
      <c r="Q124" s="402">
        <v>2938103.44</v>
      </c>
      <c r="R124" s="402">
        <v>2972553.35</v>
      </c>
      <c r="S124" s="402">
        <v>2962063.91</v>
      </c>
      <c r="T124" s="402">
        <v>2960617.74</v>
      </c>
      <c r="U124" s="402">
        <v>2969310.74</v>
      </c>
      <c r="V124" s="402">
        <v>0</v>
      </c>
      <c r="W124" s="402">
        <v>0</v>
      </c>
      <c r="X124" s="402">
        <v>0</v>
      </c>
      <c r="Y124" s="402">
        <v>0</v>
      </c>
      <c r="Z124" s="402">
        <v>0</v>
      </c>
      <c r="AA124" s="402">
        <v>20708884.41</v>
      </c>
    </row>
    <row r="125" spans="10:27" ht="15" customHeight="1" x14ac:dyDescent="0.25">
      <c r="J125" s="400" t="s">
        <v>336</v>
      </c>
      <c r="K125" s="404" t="s">
        <v>516</v>
      </c>
      <c r="L125" s="402" t="s">
        <v>517</v>
      </c>
      <c r="M125" s="402">
        <v>1520925.62</v>
      </c>
      <c r="N125" s="402">
        <v>0</v>
      </c>
      <c r="O125" s="402">
        <v>217627.01</v>
      </c>
      <c r="P125" s="402">
        <v>213256.08</v>
      </c>
      <c r="Q125" s="402">
        <v>208916.78</v>
      </c>
      <c r="R125" s="402">
        <v>224242.52</v>
      </c>
      <c r="S125" s="402">
        <v>220566.13</v>
      </c>
      <c r="T125" s="402">
        <v>220289.13</v>
      </c>
      <c r="U125" s="402">
        <v>216027.97</v>
      </c>
      <c r="V125" s="402">
        <v>0</v>
      </c>
      <c r="W125" s="402">
        <v>0</v>
      </c>
      <c r="X125" s="402">
        <v>0</v>
      </c>
      <c r="Y125" s="402">
        <v>0</v>
      </c>
      <c r="Z125" s="402">
        <v>0</v>
      </c>
      <c r="AA125" s="402">
        <v>1520925.62</v>
      </c>
    </row>
    <row r="126" spans="10:27" ht="15" customHeight="1" x14ac:dyDescent="0.25">
      <c r="J126" s="400" t="s">
        <v>336</v>
      </c>
      <c r="K126" s="404" t="s">
        <v>518</v>
      </c>
      <c r="L126" s="402" t="s">
        <v>519</v>
      </c>
      <c r="M126" s="402">
        <v>-917.76</v>
      </c>
      <c r="N126" s="402">
        <v>0</v>
      </c>
      <c r="O126" s="402">
        <v>-138.06</v>
      </c>
      <c r="P126" s="402">
        <v>-131.97</v>
      </c>
      <c r="Q126" s="402">
        <v>-132.59</v>
      </c>
      <c r="R126" s="402">
        <v>-130</v>
      </c>
      <c r="S126" s="402">
        <v>-129.91999999999999</v>
      </c>
      <c r="T126" s="402">
        <v>-128.83000000000001</v>
      </c>
      <c r="U126" s="402">
        <v>-126.39</v>
      </c>
      <c r="V126" s="402">
        <v>0</v>
      </c>
      <c r="W126" s="402">
        <v>0</v>
      </c>
      <c r="X126" s="402">
        <v>0</v>
      </c>
      <c r="Y126" s="402">
        <v>0</v>
      </c>
      <c r="Z126" s="402">
        <v>0</v>
      </c>
      <c r="AA126" s="402">
        <v>-917.76</v>
      </c>
    </row>
    <row r="127" spans="10:27" ht="15" customHeight="1" x14ac:dyDescent="0.25">
      <c r="J127" s="400" t="s">
        <v>336</v>
      </c>
      <c r="K127" s="404" t="s">
        <v>520</v>
      </c>
      <c r="L127" s="402" t="s">
        <v>521</v>
      </c>
      <c r="M127" s="402">
        <v>77049.67</v>
      </c>
      <c r="N127" s="402">
        <v>0</v>
      </c>
      <c r="O127" s="402">
        <v>11550.57</v>
      </c>
      <c r="P127" s="402">
        <v>11282.65</v>
      </c>
      <c r="Q127" s="402">
        <v>11088.75</v>
      </c>
      <c r="R127" s="402">
        <v>10966.98</v>
      </c>
      <c r="S127" s="402">
        <v>10803.82</v>
      </c>
      <c r="T127" s="402">
        <v>10782.96</v>
      </c>
      <c r="U127" s="402">
        <v>10573.94</v>
      </c>
      <c r="V127" s="402">
        <v>0</v>
      </c>
      <c r="W127" s="402">
        <v>0</v>
      </c>
      <c r="X127" s="402">
        <v>0</v>
      </c>
      <c r="Y127" s="402">
        <v>0</v>
      </c>
      <c r="Z127" s="402">
        <v>0</v>
      </c>
      <c r="AA127" s="402">
        <v>77049.67</v>
      </c>
    </row>
    <row r="128" spans="10:27" ht="15" customHeight="1" x14ac:dyDescent="0.25">
      <c r="J128" s="400" t="s">
        <v>336</v>
      </c>
      <c r="K128" s="404" t="s">
        <v>522</v>
      </c>
      <c r="L128" s="402" t="s">
        <v>523</v>
      </c>
      <c r="M128" s="402">
        <v>20168.48</v>
      </c>
      <c r="N128" s="402">
        <v>0</v>
      </c>
      <c r="O128" s="402">
        <v>3014.27</v>
      </c>
      <c r="P128" s="402">
        <v>3002.28</v>
      </c>
      <c r="Q128" s="402">
        <v>2893.48</v>
      </c>
      <c r="R128" s="402">
        <v>2880.52</v>
      </c>
      <c r="S128" s="402">
        <v>2804.92</v>
      </c>
      <c r="T128" s="402">
        <v>2813.56</v>
      </c>
      <c r="U128" s="402">
        <v>2759.45</v>
      </c>
      <c r="V128" s="402">
        <v>0</v>
      </c>
      <c r="W128" s="402">
        <v>0</v>
      </c>
      <c r="X128" s="402">
        <v>0</v>
      </c>
      <c r="Y128" s="402">
        <v>0</v>
      </c>
      <c r="Z128" s="402">
        <v>0</v>
      </c>
      <c r="AA128" s="402">
        <v>20168.48</v>
      </c>
    </row>
    <row r="129" spans="10:27" ht="15" customHeight="1" x14ac:dyDescent="0.25">
      <c r="J129" s="400" t="s">
        <v>336</v>
      </c>
      <c r="K129" s="404" t="s">
        <v>524</v>
      </c>
      <c r="L129" s="402" t="s">
        <v>525</v>
      </c>
      <c r="M129" s="402">
        <v>595265.71</v>
      </c>
      <c r="N129" s="402">
        <v>0</v>
      </c>
      <c r="O129" s="402">
        <v>85146.03</v>
      </c>
      <c r="P129" s="402">
        <v>87180.54</v>
      </c>
      <c r="Q129" s="402">
        <v>85012.39</v>
      </c>
      <c r="R129" s="402">
        <v>87709.56</v>
      </c>
      <c r="S129" s="402">
        <v>86869.24</v>
      </c>
      <c r="T129" s="402">
        <v>77880.47</v>
      </c>
      <c r="U129" s="402">
        <v>85467.48</v>
      </c>
      <c r="V129" s="402">
        <v>0</v>
      </c>
      <c r="W129" s="402">
        <v>0</v>
      </c>
      <c r="X129" s="402">
        <v>0</v>
      </c>
      <c r="Y129" s="402">
        <v>0</v>
      </c>
      <c r="Z129" s="402">
        <v>0</v>
      </c>
      <c r="AA129" s="402">
        <v>595265.71</v>
      </c>
    </row>
    <row r="130" spans="10:27" ht="15" customHeight="1" x14ac:dyDescent="0.25">
      <c r="J130" s="400" t="s">
        <v>336</v>
      </c>
      <c r="K130" s="404" t="s">
        <v>526</v>
      </c>
      <c r="L130" s="402" t="s">
        <v>527</v>
      </c>
      <c r="M130" s="402">
        <v>80380.13</v>
      </c>
      <c r="N130" s="402">
        <v>0</v>
      </c>
      <c r="O130" s="402">
        <v>11557.55</v>
      </c>
      <c r="P130" s="402">
        <v>11363.86</v>
      </c>
      <c r="Q130" s="402">
        <v>11093.23</v>
      </c>
      <c r="R130" s="402">
        <v>11817.47</v>
      </c>
      <c r="S130" s="402">
        <v>11590.65</v>
      </c>
      <c r="T130" s="402">
        <v>11590.04</v>
      </c>
      <c r="U130" s="402">
        <v>11367.33</v>
      </c>
      <c r="V130" s="402">
        <v>0</v>
      </c>
      <c r="W130" s="402">
        <v>0</v>
      </c>
      <c r="X130" s="402">
        <v>0</v>
      </c>
      <c r="Y130" s="402">
        <v>0</v>
      </c>
      <c r="Z130" s="402">
        <v>0</v>
      </c>
      <c r="AA130" s="402">
        <v>80380.13</v>
      </c>
    </row>
    <row r="131" spans="10:27" ht="15" customHeight="1" x14ac:dyDescent="0.25">
      <c r="J131" s="400" t="s">
        <v>336</v>
      </c>
      <c r="K131" s="404" t="s">
        <v>528</v>
      </c>
      <c r="L131" s="402" t="s">
        <v>529</v>
      </c>
      <c r="M131" s="402">
        <v>446495.44</v>
      </c>
      <c r="N131" s="402">
        <v>0</v>
      </c>
      <c r="O131" s="402">
        <v>66926.210000000006</v>
      </c>
      <c r="P131" s="402">
        <v>65428.35</v>
      </c>
      <c r="Q131" s="402">
        <v>64248.15</v>
      </c>
      <c r="R131" s="402">
        <v>63564.44</v>
      </c>
      <c r="S131" s="402">
        <v>62584.05</v>
      </c>
      <c r="T131" s="402">
        <v>62476.74</v>
      </c>
      <c r="U131" s="402">
        <v>61267.5</v>
      </c>
      <c r="V131" s="402">
        <v>0</v>
      </c>
      <c r="W131" s="402">
        <v>0</v>
      </c>
      <c r="X131" s="402">
        <v>0</v>
      </c>
      <c r="Y131" s="402">
        <v>0</v>
      </c>
      <c r="Z131" s="402">
        <v>0</v>
      </c>
      <c r="AA131" s="402">
        <v>446495.44</v>
      </c>
    </row>
    <row r="132" spans="10:27" ht="15" customHeight="1" x14ac:dyDescent="0.25">
      <c r="J132" s="400" t="s">
        <v>336</v>
      </c>
      <c r="K132" s="404" t="s">
        <v>530</v>
      </c>
      <c r="L132" s="402" t="s">
        <v>531</v>
      </c>
      <c r="M132" s="402">
        <v>10966.61</v>
      </c>
      <c r="N132" s="402">
        <v>0</v>
      </c>
      <c r="O132" s="402">
        <v>1643.82</v>
      </c>
      <c r="P132" s="402">
        <v>1606.94</v>
      </c>
      <c r="Q132" s="402">
        <v>1578.06</v>
      </c>
      <c r="R132" s="402">
        <v>1561.43</v>
      </c>
      <c r="S132" s="402">
        <v>1537.04</v>
      </c>
      <c r="T132" s="402">
        <v>1534.54</v>
      </c>
      <c r="U132" s="402">
        <v>1504.78</v>
      </c>
      <c r="V132" s="402">
        <v>0</v>
      </c>
      <c r="W132" s="402">
        <v>0</v>
      </c>
      <c r="X132" s="402">
        <v>0</v>
      </c>
      <c r="Y132" s="402">
        <v>0</v>
      </c>
      <c r="Z132" s="402">
        <v>0</v>
      </c>
      <c r="AA132" s="402">
        <v>10966.61</v>
      </c>
    </row>
    <row r="133" spans="10:27" ht="15" customHeight="1" x14ac:dyDescent="0.25">
      <c r="J133" s="400" t="s">
        <v>336</v>
      </c>
      <c r="K133" s="404" t="s">
        <v>532</v>
      </c>
      <c r="L133" s="402" t="s">
        <v>533</v>
      </c>
      <c r="M133" s="402">
        <v>55548.76</v>
      </c>
      <c r="N133" s="402">
        <v>0</v>
      </c>
      <c r="O133" s="402">
        <v>0</v>
      </c>
      <c r="P133" s="402">
        <v>0</v>
      </c>
      <c r="Q133" s="402">
        <v>0</v>
      </c>
      <c r="R133" s="402">
        <v>14096.19</v>
      </c>
      <c r="S133" s="402">
        <v>13935.63</v>
      </c>
      <c r="T133" s="402">
        <v>13893.17</v>
      </c>
      <c r="U133" s="402">
        <v>13623.77</v>
      </c>
      <c r="V133" s="402">
        <v>0</v>
      </c>
      <c r="W133" s="402">
        <v>0</v>
      </c>
      <c r="X133" s="402">
        <v>0</v>
      </c>
      <c r="Y133" s="402">
        <v>0</v>
      </c>
      <c r="Z133" s="402">
        <v>0</v>
      </c>
      <c r="AA133" s="402">
        <v>55548.76</v>
      </c>
    </row>
    <row r="134" spans="10:27" ht="15" customHeight="1" x14ac:dyDescent="0.2">
      <c r="J134" s="392" t="s">
        <v>336</v>
      </c>
      <c r="K134" s="399" t="s">
        <v>534</v>
      </c>
      <c r="L134" s="392" t="s">
        <v>535</v>
      </c>
      <c r="M134" s="393">
        <v>224815247.19</v>
      </c>
      <c r="N134" s="393">
        <v>277186808.30000001</v>
      </c>
      <c r="O134" s="393">
        <v>16212666.439999999</v>
      </c>
      <c r="P134" s="393">
        <v>15037188.800000001</v>
      </c>
      <c r="Q134" s="393">
        <v>15315637.65</v>
      </c>
      <c r="R134" s="393">
        <v>16569335.369999999</v>
      </c>
      <c r="S134" s="393">
        <v>16420564.08</v>
      </c>
      <c r="T134" s="393">
        <v>17281965.219999999</v>
      </c>
      <c r="U134" s="393">
        <v>18196948.289999999</v>
      </c>
      <c r="V134" s="393">
        <v>22126980.879999999</v>
      </c>
      <c r="W134" s="393">
        <v>24075203.850000001</v>
      </c>
      <c r="X134" s="393">
        <v>22647583.960000001</v>
      </c>
      <c r="Y134" s="393">
        <v>20893075.25</v>
      </c>
      <c r="Z134" s="393">
        <v>20038097.399999999</v>
      </c>
      <c r="AA134" s="393">
        <v>224815247.19</v>
      </c>
    </row>
    <row r="135" spans="10:27" ht="15" customHeight="1" x14ac:dyDescent="0.25">
      <c r="J135" s="400" t="s">
        <v>336</v>
      </c>
      <c r="K135" s="401" t="s">
        <v>536</v>
      </c>
      <c r="L135" s="402" t="s">
        <v>537</v>
      </c>
      <c r="M135" s="402">
        <v>100022805.91</v>
      </c>
      <c r="N135" s="402">
        <v>119424195</v>
      </c>
      <c r="O135" s="402">
        <v>6872106</v>
      </c>
      <c r="P135" s="402">
        <v>6583526.7300000004</v>
      </c>
      <c r="Q135" s="402">
        <v>6666335.3200000003</v>
      </c>
      <c r="R135" s="402">
        <v>6706309.8700000001</v>
      </c>
      <c r="S135" s="402">
        <v>6628699.6699999999</v>
      </c>
      <c r="T135" s="402">
        <v>6998569.0899999999</v>
      </c>
      <c r="U135" s="402">
        <v>7143997.2300000004</v>
      </c>
      <c r="V135" s="402">
        <v>10479481</v>
      </c>
      <c r="W135" s="402">
        <v>11089580</v>
      </c>
      <c r="X135" s="402">
        <v>10778193</v>
      </c>
      <c r="Y135" s="402">
        <v>10225117</v>
      </c>
      <c r="Z135" s="402">
        <v>9850891</v>
      </c>
      <c r="AA135" s="402">
        <v>100022805.91</v>
      </c>
    </row>
    <row r="136" spans="10:27" ht="15" customHeight="1" x14ac:dyDescent="0.25">
      <c r="J136" s="400" t="s">
        <v>336</v>
      </c>
      <c r="K136" s="401" t="s">
        <v>538</v>
      </c>
      <c r="L136" s="402" t="s">
        <v>539</v>
      </c>
      <c r="M136" s="402">
        <v>97828504.25</v>
      </c>
      <c r="N136" s="402">
        <v>132169369</v>
      </c>
      <c r="O136" s="402">
        <v>7483412.04</v>
      </c>
      <c r="P136" s="402">
        <v>6706261.5300000003</v>
      </c>
      <c r="Q136" s="402">
        <v>6873277.9900000002</v>
      </c>
      <c r="R136" s="402">
        <v>7672988.9699999997</v>
      </c>
      <c r="S136" s="402">
        <v>7607204.2599999998</v>
      </c>
      <c r="T136" s="402">
        <v>8006522.9199999999</v>
      </c>
      <c r="U136" s="402">
        <v>8676105.5399999991</v>
      </c>
      <c r="V136" s="402">
        <v>9099146</v>
      </c>
      <c r="W136" s="402">
        <v>10234560</v>
      </c>
      <c r="X136" s="402">
        <v>9263952</v>
      </c>
      <c r="Y136" s="402">
        <v>8317315</v>
      </c>
      <c r="Z136" s="402">
        <v>7887758</v>
      </c>
      <c r="AA136" s="402">
        <v>97828504.25</v>
      </c>
    </row>
    <row r="137" spans="10:27" ht="15" customHeight="1" x14ac:dyDescent="0.25">
      <c r="J137" s="400" t="s">
        <v>336</v>
      </c>
      <c r="K137" s="401" t="s">
        <v>540</v>
      </c>
      <c r="L137" s="402" t="s">
        <v>541</v>
      </c>
      <c r="M137" s="402">
        <v>-254913.92000000001</v>
      </c>
      <c r="N137" s="402">
        <v>-255043</v>
      </c>
      <c r="O137" s="402">
        <v>-21027.15</v>
      </c>
      <c r="P137" s="402">
        <v>-20429.88</v>
      </c>
      <c r="Q137" s="402">
        <v>-20471.84</v>
      </c>
      <c r="R137" s="402">
        <v>-20275.349999999999</v>
      </c>
      <c r="S137" s="402">
        <v>-21054.28</v>
      </c>
      <c r="T137" s="402">
        <v>-21070.32</v>
      </c>
      <c r="U137" s="402">
        <v>-21421.1</v>
      </c>
      <c r="V137" s="402">
        <v>-22122</v>
      </c>
      <c r="W137" s="402">
        <v>-23128</v>
      </c>
      <c r="X137" s="402">
        <v>-22786</v>
      </c>
      <c r="Y137" s="402">
        <v>-20526</v>
      </c>
      <c r="Z137" s="402">
        <v>-20602</v>
      </c>
      <c r="AA137" s="402">
        <v>-254913.92000000001</v>
      </c>
    </row>
    <row r="138" spans="10:27" ht="15" customHeight="1" x14ac:dyDescent="0.25">
      <c r="J138" s="400" t="s">
        <v>336</v>
      </c>
      <c r="K138" s="401" t="s">
        <v>542</v>
      </c>
      <c r="L138" s="402" t="s">
        <v>543</v>
      </c>
      <c r="M138" s="402">
        <v>3918345.97</v>
      </c>
      <c r="N138" s="402">
        <v>4010659</v>
      </c>
      <c r="O138" s="402">
        <v>318261.84000000003</v>
      </c>
      <c r="P138" s="402">
        <v>309152.09000000003</v>
      </c>
      <c r="Q138" s="402">
        <v>312923.26</v>
      </c>
      <c r="R138" s="402">
        <v>310096.39</v>
      </c>
      <c r="S138" s="402">
        <v>304770.5</v>
      </c>
      <c r="T138" s="402">
        <v>322346.36</v>
      </c>
      <c r="U138" s="402">
        <v>326169.53000000003</v>
      </c>
      <c r="V138" s="402">
        <v>347555</v>
      </c>
      <c r="W138" s="402">
        <v>362605</v>
      </c>
      <c r="X138" s="402">
        <v>357268</v>
      </c>
      <c r="Y138" s="402">
        <v>323014</v>
      </c>
      <c r="Z138" s="402">
        <v>324184</v>
      </c>
      <c r="AA138" s="402">
        <v>3918345.97</v>
      </c>
    </row>
    <row r="139" spans="10:27" ht="15" customHeight="1" x14ac:dyDescent="0.25">
      <c r="J139" s="400" t="s">
        <v>336</v>
      </c>
      <c r="K139" s="401" t="s">
        <v>544</v>
      </c>
      <c r="L139" s="402" t="s">
        <v>545</v>
      </c>
      <c r="M139" s="402">
        <v>1553758.43</v>
      </c>
      <c r="N139" s="402">
        <v>1590404</v>
      </c>
      <c r="O139" s="402">
        <v>126439.21</v>
      </c>
      <c r="P139" s="402">
        <v>113449.02</v>
      </c>
      <c r="Q139" s="402">
        <v>116453.99</v>
      </c>
      <c r="R139" s="402">
        <v>120118.81</v>
      </c>
      <c r="S139" s="402">
        <v>117734.39</v>
      </c>
      <c r="T139" s="402">
        <v>125465.04</v>
      </c>
      <c r="U139" s="402">
        <v>135581.97</v>
      </c>
      <c r="V139" s="402">
        <v>141787</v>
      </c>
      <c r="W139" s="402">
        <v>159745</v>
      </c>
      <c r="X139" s="402">
        <v>144451</v>
      </c>
      <c r="Y139" s="402">
        <v>129636</v>
      </c>
      <c r="Z139" s="402">
        <v>122897</v>
      </c>
      <c r="AA139" s="402">
        <v>1553758.43</v>
      </c>
    </row>
    <row r="140" spans="10:27" ht="15" customHeight="1" x14ac:dyDescent="0.25">
      <c r="J140" s="400" t="s">
        <v>336</v>
      </c>
      <c r="K140" s="401" t="s">
        <v>546</v>
      </c>
      <c r="L140" s="402" t="s">
        <v>547</v>
      </c>
      <c r="M140" s="402">
        <v>5776134.1900000004</v>
      </c>
      <c r="N140" s="402">
        <v>7107788.5199999996</v>
      </c>
      <c r="O140" s="402">
        <v>422866.9</v>
      </c>
      <c r="P140" s="402">
        <v>379955.59</v>
      </c>
      <c r="Q140" s="402">
        <v>389696.86</v>
      </c>
      <c r="R140" s="402">
        <v>436928.13</v>
      </c>
      <c r="S140" s="402">
        <v>445330.3</v>
      </c>
      <c r="T140" s="402">
        <v>445779.69</v>
      </c>
      <c r="U140" s="402">
        <v>477287.69</v>
      </c>
      <c r="V140" s="402">
        <v>561745.6</v>
      </c>
      <c r="W140" s="402">
        <v>609846.87</v>
      </c>
      <c r="X140" s="402">
        <v>572819.43000000005</v>
      </c>
      <c r="Y140" s="402">
        <v>524041.75</v>
      </c>
      <c r="Z140" s="402">
        <v>509835.38</v>
      </c>
      <c r="AA140" s="402">
        <v>5776134.1900000004</v>
      </c>
    </row>
    <row r="141" spans="10:27" ht="15" customHeight="1" x14ac:dyDescent="0.25">
      <c r="J141" s="400" t="s">
        <v>336</v>
      </c>
      <c r="K141" s="401" t="s">
        <v>548</v>
      </c>
      <c r="L141" s="402" t="s">
        <v>549</v>
      </c>
      <c r="M141" s="402">
        <v>4619265.16</v>
      </c>
      <c r="N141" s="402">
        <v>4832479.4000000004</v>
      </c>
      <c r="O141" s="402">
        <v>392517.91</v>
      </c>
      <c r="P141" s="402">
        <v>364204.53</v>
      </c>
      <c r="Q141" s="402">
        <v>370607.53</v>
      </c>
      <c r="R141" s="402">
        <v>400968.89</v>
      </c>
      <c r="S141" s="402">
        <v>397028.72</v>
      </c>
      <c r="T141" s="402">
        <v>418552.01</v>
      </c>
      <c r="U141" s="402">
        <v>440650.4</v>
      </c>
      <c r="V141" s="402">
        <v>373230.25</v>
      </c>
      <c r="W141" s="402">
        <v>418822.34</v>
      </c>
      <c r="X141" s="402">
        <v>383298.71</v>
      </c>
      <c r="Y141" s="402">
        <v>336578.36</v>
      </c>
      <c r="Z141" s="402">
        <v>322805.51</v>
      </c>
      <c r="AA141" s="402">
        <v>4619265.16</v>
      </c>
    </row>
    <row r="142" spans="10:27" ht="15" customHeight="1" x14ac:dyDescent="0.25">
      <c r="J142" s="400" t="s">
        <v>336</v>
      </c>
      <c r="K142" s="401" t="s">
        <v>550</v>
      </c>
      <c r="L142" s="402" t="s">
        <v>551</v>
      </c>
      <c r="M142" s="402">
        <v>3086659.95</v>
      </c>
      <c r="N142" s="402">
        <v>3590346.38</v>
      </c>
      <c r="O142" s="402">
        <v>226614.71</v>
      </c>
      <c r="P142" s="402">
        <v>220061.35</v>
      </c>
      <c r="Q142" s="402">
        <v>222369.02</v>
      </c>
      <c r="R142" s="402">
        <v>221215.6</v>
      </c>
      <c r="S142" s="402">
        <v>217600.85</v>
      </c>
      <c r="T142" s="402">
        <v>230614.13</v>
      </c>
      <c r="U142" s="402">
        <v>232982.32</v>
      </c>
      <c r="V142" s="402">
        <v>306505.13</v>
      </c>
      <c r="W142" s="402">
        <v>317412.5</v>
      </c>
      <c r="X142" s="402">
        <v>313127.52</v>
      </c>
      <c r="Y142" s="402">
        <v>288314.46999999997</v>
      </c>
      <c r="Z142" s="402">
        <v>289842.34999999998</v>
      </c>
      <c r="AA142" s="402">
        <v>3086659.95</v>
      </c>
    </row>
    <row r="143" spans="10:27" ht="15" customHeight="1" x14ac:dyDescent="0.25">
      <c r="J143" s="400" t="s">
        <v>336</v>
      </c>
      <c r="K143" s="401" t="s">
        <v>552</v>
      </c>
      <c r="L143" s="402" t="s">
        <v>553</v>
      </c>
      <c r="M143" s="402">
        <v>4755486.8499999996</v>
      </c>
      <c r="N143" s="402">
        <v>4716610</v>
      </c>
      <c r="O143" s="402">
        <v>391474.98</v>
      </c>
      <c r="P143" s="402">
        <v>381007.84</v>
      </c>
      <c r="Q143" s="402">
        <v>384445.52</v>
      </c>
      <c r="R143" s="402">
        <v>382702.81</v>
      </c>
      <c r="S143" s="402">
        <v>375660.77</v>
      </c>
      <c r="T143" s="402">
        <v>398664.48</v>
      </c>
      <c r="U143" s="402">
        <v>401920.45</v>
      </c>
      <c r="V143" s="402">
        <v>413628</v>
      </c>
      <c r="W143" s="402">
        <v>432582</v>
      </c>
      <c r="X143" s="402">
        <v>425569</v>
      </c>
      <c r="Y143" s="402">
        <v>383273</v>
      </c>
      <c r="Z143" s="402">
        <v>384558</v>
      </c>
      <c r="AA143" s="402">
        <v>4755486.8499999996</v>
      </c>
    </row>
    <row r="144" spans="10:27" ht="15" customHeight="1" x14ac:dyDescent="0.25">
      <c r="J144" s="400" t="s">
        <v>336</v>
      </c>
      <c r="K144" s="401" t="s">
        <v>554</v>
      </c>
      <c r="L144" s="402" t="s">
        <v>555</v>
      </c>
      <c r="M144" s="402">
        <v>3509200.4</v>
      </c>
      <c r="N144" s="402">
        <v>0</v>
      </c>
      <c r="O144" s="402">
        <v>0</v>
      </c>
      <c r="P144" s="402">
        <v>0</v>
      </c>
      <c r="Q144" s="402">
        <v>0</v>
      </c>
      <c r="R144" s="402">
        <v>338281.25</v>
      </c>
      <c r="S144" s="402">
        <v>347588.9</v>
      </c>
      <c r="T144" s="402">
        <v>356521.82</v>
      </c>
      <c r="U144" s="402">
        <v>383674.26</v>
      </c>
      <c r="V144" s="402">
        <v>426024.9</v>
      </c>
      <c r="W144" s="402">
        <v>473178.14</v>
      </c>
      <c r="X144" s="402">
        <v>431691.3</v>
      </c>
      <c r="Y144" s="402">
        <v>386311.67</v>
      </c>
      <c r="Z144" s="402">
        <v>365928.16</v>
      </c>
      <c r="AA144" s="402">
        <v>3509200.4</v>
      </c>
    </row>
    <row r="145" spans="10:27" ht="15" customHeight="1" x14ac:dyDescent="0.2">
      <c r="J145" s="392" t="s">
        <v>336</v>
      </c>
      <c r="K145" s="399" t="s">
        <v>556</v>
      </c>
      <c r="L145" s="392" t="s">
        <v>557</v>
      </c>
      <c r="M145" s="393">
        <v>-352548966.59416342</v>
      </c>
      <c r="N145" s="393">
        <v>-64970134.620227501</v>
      </c>
      <c r="O145" s="393">
        <v>-16387198.09</v>
      </c>
      <c r="P145" s="393">
        <v>-23313327</v>
      </c>
      <c r="Q145" s="393">
        <v>-23157162</v>
      </c>
      <c r="R145" s="393">
        <v>-29122048</v>
      </c>
      <c r="S145" s="393">
        <v>-29263517</v>
      </c>
      <c r="T145" s="393">
        <v>-39022131</v>
      </c>
      <c r="U145" s="393">
        <v>-43674632</v>
      </c>
      <c r="V145" s="393">
        <v>-34545280.502311297</v>
      </c>
      <c r="W145" s="393">
        <v>-36652831.775259003</v>
      </c>
      <c r="X145" s="393">
        <v>-35116295.011659503</v>
      </c>
      <c r="Y145" s="393">
        <v>-24652763.401750199</v>
      </c>
      <c r="Z145" s="393">
        <v>-17641780.813183401</v>
      </c>
      <c r="AA145" s="393">
        <v>-352548966.59416342</v>
      </c>
    </row>
    <row r="146" spans="10:27" ht="15" customHeight="1" x14ac:dyDescent="0.2">
      <c r="J146" s="392" t="s">
        <v>336</v>
      </c>
      <c r="K146" s="403" t="s">
        <v>558</v>
      </c>
      <c r="L146" s="392" t="s">
        <v>559</v>
      </c>
      <c r="M146" s="393">
        <v>-352548966.59416342</v>
      </c>
      <c r="N146" s="393">
        <v>-64970134.620227501</v>
      </c>
      <c r="O146" s="393">
        <v>-16387198.09</v>
      </c>
      <c r="P146" s="393">
        <v>-23313327</v>
      </c>
      <c r="Q146" s="393">
        <v>-23157162</v>
      </c>
      <c r="R146" s="393">
        <v>-29122048</v>
      </c>
      <c r="S146" s="393">
        <v>-29263517</v>
      </c>
      <c r="T146" s="393">
        <v>-39022131</v>
      </c>
      <c r="U146" s="393">
        <v>-43674632</v>
      </c>
      <c r="V146" s="393">
        <v>-34545280.502311297</v>
      </c>
      <c r="W146" s="393">
        <v>-36652831.775259003</v>
      </c>
      <c r="X146" s="393">
        <v>-35116295.011659503</v>
      </c>
      <c r="Y146" s="393">
        <v>-24652763.401750199</v>
      </c>
      <c r="Z146" s="393">
        <v>-17641780.813183401</v>
      </c>
      <c r="AA146" s="393">
        <v>-352548966.59416342</v>
      </c>
    </row>
    <row r="147" spans="10:27" ht="15" customHeight="1" x14ac:dyDescent="0.25">
      <c r="J147" s="400" t="s">
        <v>336</v>
      </c>
      <c r="K147" s="404" t="s">
        <v>560</v>
      </c>
      <c r="L147" s="402" t="s">
        <v>561</v>
      </c>
      <c r="M147" s="402">
        <v>-357160254.59937292</v>
      </c>
      <c r="N147" s="402">
        <v>-74064583.372211903</v>
      </c>
      <c r="O147" s="402">
        <v>-16522067</v>
      </c>
      <c r="P147" s="402">
        <v>-24851605</v>
      </c>
      <c r="Q147" s="402">
        <v>-24114644</v>
      </c>
      <c r="R147" s="402">
        <v>-29758188</v>
      </c>
      <c r="S147" s="402">
        <v>-30191575</v>
      </c>
      <c r="T147" s="402">
        <v>-39423064</v>
      </c>
      <c r="U147" s="402">
        <v>-42424642</v>
      </c>
      <c r="V147" s="402">
        <v>-34382000.910313502</v>
      </c>
      <c r="W147" s="402">
        <v>-35946321.537302002</v>
      </c>
      <c r="X147" s="402">
        <v>-35068318.924063601</v>
      </c>
      <c r="Y147" s="402">
        <v>-25509918.245671999</v>
      </c>
      <c r="Z147" s="402">
        <v>-18967909.982021801</v>
      </c>
      <c r="AA147" s="402">
        <v>-357160254.59937292</v>
      </c>
    </row>
    <row r="148" spans="10:27" ht="15" customHeight="1" x14ac:dyDescent="0.25">
      <c r="J148" s="400" t="s">
        <v>336</v>
      </c>
      <c r="K148" s="404" t="s">
        <v>562</v>
      </c>
      <c r="L148" s="402" t="s">
        <v>563</v>
      </c>
      <c r="M148" s="402">
        <v>-4819870</v>
      </c>
      <c r="N148" s="402">
        <v>-4819866</v>
      </c>
      <c r="O148" s="402">
        <v>-401656</v>
      </c>
      <c r="P148" s="402">
        <v>-401656</v>
      </c>
      <c r="Q148" s="402">
        <v>-401660</v>
      </c>
      <c r="R148" s="402">
        <v>-401656</v>
      </c>
      <c r="S148" s="402">
        <v>-401656</v>
      </c>
      <c r="T148" s="402">
        <v>-401656</v>
      </c>
      <c r="U148" s="402">
        <v>-401656</v>
      </c>
      <c r="V148" s="402">
        <v>-401656</v>
      </c>
      <c r="W148" s="402">
        <v>-401656</v>
      </c>
      <c r="X148" s="402">
        <v>-401656</v>
      </c>
      <c r="Y148" s="402">
        <v>-401656</v>
      </c>
      <c r="Z148" s="402">
        <v>-401650</v>
      </c>
      <c r="AA148" s="402">
        <v>-4819870</v>
      </c>
    </row>
    <row r="149" spans="10:27" ht="15" customHeight="1" x14ac:dyDescent="0.25">
      <c r="J149" s="400" t="s">
        <v>336</v>
      </c>
      <c r="K149" s="404" t="s">
        <v>564</v>
      </c>
      <c r="L149" s="402" t="s">
        <v>565</v>
      </c>
      <c r="M149" s="402">
        <v>-633535.13699699997</v>
      </c>
      <c r="N149" s="402">
        <v>-1029751.5161752</v>
      </c>
      <c r="O149" s="402">
        <v>0</v>
      </c>
      <c r="P149" s="402">
        <v>0</v>
      </c>
      <c r="Q149" s="402">
        <v>0</v>
      </c>
      <c r="R149" s="402">
        <v>0</v>
      </c>
      <c r="S149" s="402">
        <v>0</v>
      </c>
      <c r="T149" s="402">
        <v>0</v>
      </c>
      <c r="U149" s="402">
        <v>-158822</v>
      </c>
      <c r="V149" s="402">
        <v>-64571.694471100003</v>
      </c>
      <c r="W149" s="402">
        <v>-59400.417790300002</v>
      </c>
      <c r="X149" s="402">
        <v>-80154.474869199999</v>
      </c>
      <c r="Y149" s="402">
        <v>-128615.5828715</v>
      </c>
      <c r="Z149" s="402">
        <v>-141970.96699489999</v>
      </c>
      <c r="AA149" s="402">
        <v>-633535.13699699997</v>
      </c>
    </row>
    <row r="150" spans="10:27" ht="15" customHeight="1" x14ac:dyDescent="0.25">
      <c r="J150" s="400" t="s">
        <v>336</v>
      </c>
      <c r="K150" s="404" t="s">
        <v>566</v>
      </c>
      <c r="L150" s="402" t="s">
        <v>567</v>
      </c>
      <c r="M150" s="402">
        <v>-4308509.4469600003</v>
      </c>
      <c r="N150" s="402">
        <v>-3199046.3618399999</v>
      </c>
      <c r="O150" s="402">
        <v>-369611</v>
      </c>
      <c r="P150" s="402">
        <v>1716</v>
      </c>
      <c r="Q150" s="402">
        <v>0</v>
      </c>
      <c r="R150" s="402">
        <v>-42498</v>
      </c>
      <c r="S150" s="402">
        <v>-5625</v>
      </c>
      <c r="T150" s="402">
        <v>-440887</v>
      </c>
      <c r="U150" s="402">
        <v>-1009913</v>
      </c>
      <c r="V150" s="402">
        <v>-766638.03336</v>
      </c>
      <c r="W150" s="402">
        <v>-704449.95600000001</v>
      </c>
      <c r="X150" s="402">
        <v>-809296.74855999998</v>
      </c>
      <c r="Y150" s="402">
        <v>-161306.70903999999</v>
      </c>
      <c r="Z150" s="402">
        <v>0</v>
      </c>
      <c r="AA150" s="402">
        <v>-4308509.4469600003</v>
      </c>
    </row>
    <row r="151" spans="10:27" ht="15" customHeight="1" x14ac:dyDescent="0.25">
      <c r="J151" s="400" t="s">
        <v>336</v>
      </c>
      <c r="K151" s="404" t="s">
        <v>568</v>
      </c>
      <c r="L151" s="402" t="s">
        <v>569</v>
      </c>
      <c r="M151" s="402">
        <v>-3923659</v>
      </c>
      <c r="N151" s="402">
        <v>-906073</v>
      </c>
      <c r="O151" s="402">
        <v>-135620</v>
      </c>
      <c r="P151" s="402">
        <v>-13032</v>
      </c>
      <c r="Q151" s="402">
        <v>-141599</v>
      </c>
      <c r="R151" s="402">
        <v>-221002</v>
      </c>
      <c r="S151" s="402">
        <v>-257588</v>
      </c>
      <c r="T151" s="402">
        <v>-441445</v>
      </c>
      <c r="U151" s="402">
        <v>-588939</v>
      </c>
      <c r="V151" s="402">
        <v>-425090</v>
      </c>
      <c r="W151" s="402">
        <v>-739387</v>
      </c>
      <c r="X151" s="402">
        <v>-574703</v>
      </c>
      <c r="Y151" s="402">
        <v>-258756</v>
      </c>
      <c r="Z151" s="402">
        <v>-126498</v>
      </c>
      <c r="AA151" s="402">
        <v>-3923659</v>
      </c>
    </row>
    <row r="152" spans="10:27" ht="15" customHeight="1" x14ac:dyDescent="0.25">
      <c r="J152" s="400" t="s">
        <v>336</v>
      </c>
      <c r="K152" s="404" t="s">
        <v>570</v>
      </c>
      <c r="L152" s="402" t="s">
        <v>571</v>
      </c>
      <c r="M152" s="402">
        <v>-1983933</v>
      </c>
      <c r="N152" s="402">
        <v>-2355393</v>
      </c>
      <c r="O152" s="402">
        <v>-583818</v>
      </c>
      <c r="P152" s="402">
        <v>139738</v>
      </c>
      <c r="Q152" s="402">
        <v>0</v>
      </c>
      <c r="R152" s="402">
        <v>54574</v>
      </c>
      <c r="S152" s="402">
        <v>0</v>
      </c>
      <c r="T152" s="402">
        <v>-219673</v>
      </c>
      <c r="U152" s="402">
        <v>-423978</v>
      </c>
      <c r="V152" s="402">
        <v>-326675</v>
      </c>
      <c r="W152" s="402">
        <v>-624101</v>
      </c>
      <c r="X152" s="402">
        <v>0</v>
      </c>
      <c r="Y152" s="402">
        <v>0</v>
      </c>
      <c r="Z152" s="402">
        <v>0</v>
      </c>
      <c r="AA152" s="402">
        <v>-1983933</v>
      </c>
    </row>
    <row r="153" spans="10:27" ht="15" customHeight="1" x14ac:dyDescent="0.25">
      <c r="J153" s="400" t="s">
        <v>336</v>
      </c>
      <c r="K153" s="404" t="s">
        <v>572</v>
      </c>
      <c r="L153" s="402" t="s">
        <v>573</v>
      </c>
      <c r="M153" s="402">
        <v>-823986.09</v>
      </c>
      <c r="N153" s="402">
        <v>299797</v>
      </c>
      <c r="O153" s="402">
        <v>-133158.09</v>
      </c>
      <c r="P153" s="402">
        <v>52780</v>
      </c>
      <c r="Q153" s="402">
        <v>-257991</v>
      </c>
      <c r="R153" s="402">
        <v>-512010</v>
      </c>
      <c r="S153" s="402">
        <v>-165805</v>
      </c>
      <c r="T153" s="402">
        <v>145862</v>
      </c>
      <c r="U153" s="402">
        <v>-425414</v>
      </c>
      <c r="V153" s="402">
        <v>62619</v>
      </c>
      <c r="W153" s="402">
        <v>63752</v>
      </c>
      <c r="X153" s="402">
        <v>59102</v>
      </c>
      <c r="Y153" s="402">
        <v>48757</v>
      </c>
      <c r="Z153" s="402">
        <v>237520</v>
      </c>
      <c r="AA153" s="402">
        <v>-823986.09</v>
      </c>
    </row>
    <row r="154" spans="10:27" ht="15" customHeight="1" x14ac:dyDescent="0.25">
      <c r="J154" s="400" t="s">
        <v>336</v>
      </c>
      <c r="K154" s="404" t="s">
        <v>574</v>
      </c>
      <c r="L154" s="402" t="s">
        <v>575</v>
      </c>
      <c r="M154" s="402">
        <v>3967824.6791665</v>
      </c>
      <c r="N154" s="402">
        <v>3967825.6299995999</v>
      </c>
      <c r="O154" s="402">
        <v>330652</v>
      </c>
      <c r="P154" s="402">
        <v>330652</v>
      </c>
      <c r="Q154" s="402">
        <v>330652</v>
      </c>
      <c r="R154" s="402">
        <v>330652</v>
      </c>
      <c r="S154" s="402">
        <v>330652</v>
      </c>
      <c r="T154" s="402">
        <v>330652</v>
      </c>
      <c r="U154" s="402">
        <v>330652</v>
      </c>
      <c r="V154" s="402">
        <v>330652.13583330001</v>
      </c>
      <c r="W154" s="402">
        <v>330652.13583330001</v>
      </c>
      <c r="X154" s="402">
        <v>330652.13583330001</v>
      </c>
      <c r="Y154" s="402">
        <v>330652.13583330001</v>
      </c>
      <c r="Z154" s="402">
        <v>330652.13583330001</v>
      </c>
      <c r="AA154" s="402">
        <v>3967824.6791665</v>
      </c>
    </row>
    <row r="155" spans="10:27" ht="15" customHeight="1" x14ac:dyDescent="0.25">
      <c r="J155" s="400" t="s">
        <v>336</v>
      </c>
      <c r="K155" s="404" t="s">
        <v>576</v>
      </c>
      <c r="L155" s="402" t="s">
        <v>577</v>
      </c>
      <c r="M155" s="402">
        <v>361923</v>
      </c>
      <c r="N155" s="402">
        <v>361923</v>
      </c>
      <c r="O155" s="402">
        <v>30160</v>
      </c>
      <c r="P155" s="402">
        <v>30160</v>
      </c>
      <c r="Q155" s="402">
        <v>30160</v>
      </c>
      <c r="R155" s="402">
        <v>30160</v>
      </c>
      <c r="S155" s="402">
        <v>30160</v>
      </c>
      <c r="T155" s="402">
        <v>30160</v>
      </c>
      <c r="U155" s="402">
        <v>30160</v>
      </c>
      <c r="V155" s="402">
        <v>30160</v>
      </c>
      <c r="W155" s="402">
        <v>30160</v>
      </c>
      <c r="X155" s="402">
        <v>30160</v>
      </c>
      <c r="Y155" s="402">
        <v>30160</v>
      </c>
      <c r="Z155" s="402">
        <v>30163</v>
      </c>
      <c r="AA155" s="402">
        <v>361923</v>
      </c>
    </row>
    <row r="156" spans="10:27" ht="15" customHeight="1" x14ac:dyDescent="0.25">
      <c r="J156" s="400" t="s">
        <v>336</v>
      </c>
      <c r="K156" s="404" t="s">
        <v>578</v>
      </c>
      <c r="L156" s="402" t="s">
        <v>579</v>
      </c>
      <c r="M156" s="402">
        <v>6570558</v>
      </c>
      <c r="N156" s="402">
        <v>6570558</v>
      </c>
      <c r="O156" s="402">
        <v>547547</v>
      </c>
      <c r="P156" s="402">
        <v>547547</v>
      </c>
      <c r="Q156" s="402">
        <v>547547</v>
      </c>
      <c r="R156" s="402">
        <v>547547</v>
      </c>
      <c r="S156" s="402">
        <v>547547</v>
      </c>
      <c r="T156" s="402">
        <v>547547</v>
      </c>
      <c r="U156" s="402">
        <v>547547</v>
      </c>
      <c r="V156" s="402">
        <v>547547</v>
      </c>
      <c r="W156" s="402">
        <v>547547</v>
      </c>
      <c r="X156" s="402">
        <v>547547</v>
      </c>
      <c r="Y156" s="402">
        <v>547547</v>
      </c>
      <c r="Z156" s="402">
        <v>547541</v>
      </c>
      <c r="AA156" s="402">
        <v>6570558</v>
      </c>
    </row>
    <row r="157" spans="10:27" ht="15" customHeight="1" x14ac:dyDescent="0.25">
      <c r="J157" s="400" t="s">
        <v>336</v>
      </c>
      <c r="K157" s="404" t="s">
        <v>580</v>
      </c>
      <c r="L157" s="402" t="s">
        <v>581</v>
      </c>
      <c r="M157" s="402">
        <v>10204475</v>
      </c>
      <c r="N157" s="402">
        <v>10204475</v>
      </c>
      <c r="O157" s="402">
        <v>850373</v>
      </c>
      <c r="P157" s="402">
        <v>850373</v>
      </c>
      <c r="Q157" s="402">
        <v>850373</v>
      </c>
      <c r="R157" s="402">
        <v>850373</v>
      </c>
      <c r="S157" s="402">
        <v>850373</v>
      </c>
      <c r="T157" s="402">
        <v>850373</v>
      </c>
      <c r="U157" s="402">
        <v>850373</v>
      </c>
      <c r="V157" s="402">
        <v>850373</v>
      </c>
      <c r="W157" s="402">
        <v>850373</v>
      </c>
      <c r="X157" s="402">
        <v>850373</v>
      </c>
      <c r="Y157" s="402">
        <v>850373</v>
      </c>
      <c r="Z157" s="402">
        <v>850372</v>
      </c>
      <c r="AA157" s="402">
        <v>10204475</v>
      </c>
    </row>
    <row r="158" spans="10:27" ht="15" customHeight="1" x14ac:dyDescent="0.2">
      <c r="J158" s="392" t="s">
        <v>336</v>
      </c>
      <c r="K158" s="399" t="s">
        <v>582</v>
      </c>
      <c r="L158" s="392" t="s">
        <v>583</v>
      </c>
      <c r="M158" s="393">
        <v>51720906.6157263</v>
      </c>
      <c r="N158" s="393">
        <v>49659682.862478398</v>
      </c>
      <c r="O158" s="393">
        <v>2276057.7999999998</v>
      </c>
      <c r="P158" s="393">
        <v>1666554.75</v>
      </c>
      <c r="Q158" s="393">
        <v>12363550.74</v>
      </c>
      <c r="R158" s="393">
        <v>5989453.4199999999</v>
      </c>
      <c r="S158" s="393">
        <v>11482981.83</v>
      </c>
      <c r="T158" s="393">
        <v>15944499.24</v>
      </c>
      <c r="U158" s="393">
        <v>6858396.8899999997</v>
      </c>
      <c r="V158" s="393">
        <v>2698748.8595285001</v>
      </c>
      <c r="W158" s="393">
        <v>-4765301.9586605998</v>
      </c>
      <c r="X158" s="393">
        <v>-945835.00819269998</v>
      </c>
      <c r="Y158" s="393">
        <v>-7264927.4219583003</v>
      </c>
      <c r="Z158" s="393">
        <v>5416727.4750094004</v>
      </c>
      <c r="AA158" s="393">
        <v>51720906.6157263</v>
      </c>
    </row>
    <row r="159" spans="10:27" ht="15" customHeight="1" x14ac:dyDescent="0.2">
      <c r="J159" s="392" t="s">
        <v>336</v>
      </c>
      <c r="K159" s="403" t="s">
        <v>584</v>
      </c>
      <c r="L159" s="392" t="s">
        <v>585</v>
      </c>
      <c r="M159" s="393">
        <v>364020.66</v>
      </c>
      <c r="N159" s="393">
        <v>0</v>
      </c>
      <c r="O159" s="393">
        <v>-2256827</v>
      </c>
      <c r="P159" s="393">
        <v>-3449709</v>
      </c>
      <c r="Q159" s="393">
        <v>8184181</v>
      </c>
      <c r="R159" s="393">
        <v>1675112</v>
      </c>
      <c r="S159" s="393">
        <v>7596114</v>
      </c>
      <c r="T159" s="393">
        <v>12098681</v>
      </c>
      <c r="U159" s="393">
        <v>2043726</v>
      </c>
      <c r="V159" s="393">
        <v>-1179571.07</v>
      </c>
      <c r="W159" s="393">
        <v>-8842737.0500000007</v>
      </c>
      <c r="X159" s="393">
        <v>-5336817.47</v>
      </c>
      <c r="Y159" s="393">
        <v>-11350714.210000001</v>
      </c>
      <c r="Z159" s="393">
        <v>1182582.46</v>
      </c>
      <c r="AA159" s="393">
        <v>364020.66</v>
      </c>
    </row>
    <row r="160" spans="10:27" ht="15" customHeight="1" x14ac:dyDescent="0.25">
      <c r="J160" s="400" t="s">
        <v>336</v>
      </c>
      <c r="K160" s="404" t="s">
        <v>586</v>
      </c>
      <c r="L160" s="402" t="s">
        <v>587</v>
      </c>
      <c r="M160" s="402">
        <v>364020.66</v>
      </c>
      <c r="N160" s="402">
        <v>0</v>
      </c>
      <c r="O160" s="402">
        <v>-2256827</v>
      </c>
      <c r="P160" s="402">
        <v>-3449709</v>
      </c>
      <c r="Q160" s="402">
        <v>8184181</v>
      </c>
      <c r="R160" s="402">
        <v>1675112</v>
      </c>
      <c r="S160" s="402">
        <v>7596114</v>
      </c>
      <c r="T160" s="402">
        <v>12098681</v>
      </c>
      <c r="U160" s="402">
        <v>2043726</v>
      </c>
      <c r="V160" s="402">
        <v>-1179571.07</v>
      </c>
      <c r="W160" s="402">
        <v>-8842737.0500000007</v>
      </c>
      <c r="X160" s="402">
        <v>-5336817.47</v>
      </c>
      <c r="Y160" s="402">
        <v>-11350714.210000001</v>
      </c>
      <c r="Z160" s="402">
        <v>1182582.46</v>
      </c>
      <c r="AA160" s="402">
        <v>364020.66</v>
      </c>
    </row>
    <row r="161" spans="10:27" ht="15" customHeight="1" x14ac:dyDescent="0.2">
      <c r="J161" s="392" t="s">
        <v>336</v>
      </c>
      <c r="K161" s="403" t="s">
        <v>588</v>
      </c>
      <c r="L161" s="392" t="s">
        <v>589</v>
      </c>
      <c r="M161" s="393">
        <v>4507542.0599993998</v>
      </c>
      <c r="N161" s="393">
        <v>2970789</v>
      </c>
      <c r="O161" s="393">
        <v>535871.04</v>
      </c>
      <c r="P161" s="393">
        <v>696274.09</v>
      </c>
      <c r="Q161" s="393">
        <v>437272.12</v>
      </c>
      <c r="R161" s="393">
        <v>932885.48</v>
      </c>
      <c r="S161" s="393">
        <v>77694.460000000006</v>
      </c>
      <c r="T161" s="393">
        <v>105419.26</v>
      </c>
      <c r="U161" s="393">
        <v>1021618.13</v>
      </c>
      <c r="V161" s="393">
        <v>143782.8799997</v>
      </c>
      <c r="W161" s="393">
        <v>146052.9999997</v>
      </c>
      <c r="X161" s="393">
        <v>119681.60000000001</v>
      </c>
      <c r="Y161" s="393">
        <v>154326</v>
      </c>
      <c r="Z161" s="393">
        <v>136664</v>
      </c>
      <c r="AA161" s="393">
        <v>4507542.0599993998</v>
      </c>
    </row>
    <row r="162" spans="10:27" ht="15" customHeight="1" x14ac:dyDescent="0.25">
      <c r="J162" s="400" t="s">
        <v>336</v>
      </c>
      <c r="K162" s="404" t="s">
        <v>590</v>
      </c>
      <c r="L162" s="402" t="s">
        <v>591</v>
      </c>
      <c r="M162" s="402">
        <v>2814172.4599994002</v>
      </c>
      <c r="N162" s="402">
        <v>2790792</v>
      </c>
      <c r="O162" s="402">
        <v>394538.25</v>
      </c>
      <c r="P162" s="402">
        <v>470296.32000000001</v>
      </c>
      <c r="Q162" s="402">
        <v>302690.93</v>
      </c>
      <c r="R162" s="402">
        <v>163305.98000000001</v>
      </c>
      <c r="S162" s="402">
        <v>73464.800000000003</v>
      </c>
      <c r="T162" s="402">
        <v>78886.649999999994</v>
      </c>
      <c r="U162" s="402">
        <v>667463.93000000005</v>
      </c>
      <c r="V162" s="402">
        <v>115878.9999997</v>
      </c>
      <c r="W162" s="402">
        <v>144146.9999997</v>
      </c>
      <c r="X162" s="402">
        <v>118017.60000000001</v>
      </c>
      <c r="Y162" s="402">
        <v>151547</v>
      </c>
      <c r="Z162" s="402">
        <v>133935</v>
      </c>
      <c r="AA162" s="402">
        <v>2814172.4599994002</v>
      </c>
    </row>
    <row r="163" spans="10:27" ht="15" customHeight="1" x14ac:dyDescent="0.25">
      <c r="J163" s="400" t="s">
        <v>336</v>
      </c>
      <c r="K163" s="404" t="s">
        <v>592</v>
      </c>
      <c r="L163" s="402" t="s">
        <v>593</v>
      </c>
      <c r="M163" s="402">
        <v>219868.77</v>
      </c>
      <c r="N163" s="402">
        <v>0</v>
      </c>
      <c r="O163" s="402">
        <v>17258.63</v>
      </c>
      <c r="P163" s="402">
        <v>44587.14</v>
      </c>
      <c r="Q163" s="402">
        <v>22717.42</v>
      </c>
      <c r="R163" s="402">
        <v>68027.08</v>
      </c>
      <c r="S163" s="402">
        <v>4229.66</v>
      </c>
      <c r="T163" s="402">
        <v>4016.21</v>
      </c>
      <c r="U163" s="402">
        <v>32989.75</v>
      </c>
      <c r="V163" s="402">
        <v>26042.880000000001</v>
      </c>
      <c r="W163" s="402">
        <v>0</v>
      </c>
      <c r="X163" s="402">
        <v>0</v>
      </c>
      <c r="Y163" s="402">
        <v>0</v>
      </c>
      <c r="Z163" s="402">
        <v>0</v>
      </c>
      <c r="AA163" s="402">
        <v>219868.77</v>
      </c>
    </row>
    <row r="164" spans="10:27" ht="15" customHeight="1" x14ac:dyDescent="0.25">
      <c r="J164" s="400" t="s">
        <v>336</v>
      </c>
      <c r="K164" s="404" t="s">
        <v>594</v>
      </c>
      <c r="L164" s="402" t="s">
        <v>595</v>
      </c>
      <c r="M164" s="402">
        <v>1473500.83</v>
      </c>
      <c r="N164" s="402">
        <v>179997</v>
      </c>
      <c r="O164" s="402">
        <v>124074.16</v>
      </c>
      <c r="P164" s="402">
        <v>181390.63</v>
      </c>
      <c r="Q164" s="402">
        <v>111863.77</v>
      </c>
      <c r="R164" s="402">
        <v>701552.42</v>
      </c>
      <c r="S164" s="402">
        <v>0</v>
      </c>
      <c r="T164" s="402">
        <v>22516.400000000001</v>
      </c>
      <c r="U164" s="402">
        <v>321164.45</v>
      </c>
      <c r="V164" s="402">
        <v>1861</v>
      </c>
      <c r="W164" s="402">
        <v>1906</v>
      </c>
      <c r="X164" s="402">
        <v>1664</v>
      </c>
      <c r="Y164" s="402">
        <v>2779</v>
      </c>
      <c r="Z164" s="402">
        <v>2729</v>
      </c>
      <c r="AA164" s="402">
        <v>1473500.83</v>
      </c>
    </row>
    <row r="165" spans="10:27" ht="15" customHeight="1" x14ac:dyDescent="0.2">
      <c r="J165" s="392" t="s">
        <v>336</v>
      </c>
      <c r="K165" s="403" t="s">
        <v>596</v>
      </c>
      <c r="L165" s="392" t="s">
        <v>597</v>
      </c>
      <c r="M165" s="393">
        <v>18920033.111015499</v>
      </c>
      <c r="N165" s="393">
        <v>18711768.258437201</v>
      </c>
      <c r="O165" s="393">
        <v>1715825.84</v>
      </c>
      <c r="P165" s="393">
        <v>1604099.15</v>
      </c>
      <c r="Q165" s="393">
        <v>1621857.39</v>
      </c>
      <c r="R165" s="393">
        <v>1158858.3999999999</v>
      </c>
      <c r="S165" s="393">
        <v>1605854.81</v>
      </c>
      <c r="T165" s="393">
        <v>1721124.42</v>
      </c>
      <c r="U165" s="393">
        <v>1701640.16</v>
      </c>
      <c r="V165" s="393">
        <v>1550173.1882031001</v>
      </c>
      <c r="W165" s="393">
        <v>1559832.1882031001</v>
      </c>
      <c r="X165" s="393">
        <v>1559891.1882031001</v>
      </c>
      <c r="Y165" s="393">
        <v>1560255.1882031001</v>
      </c>
      <c r="Z165" s="393">
        <v>1560621.1882031001</v>
      </c>
      <c r="AA165" s="393">
        <v>18920033.111015499</v>
      </c>
    </row>
    <row r="166" spans="10:27" ht="15" customHeight="1" x14ac:dyDescent="0.25">
      <c r="J166" s="400" t="s">
        <v>336</v>
      </c>
      <c r="K166" s="404" t="s">
        <v>598</v>
      </c>
      <c r="L166" s="402" t="s">
        <v>599</v>
      </c>
      <c r="M166" s="402">
        <v>101200.16</v>
      </c>
      <c r="N166" s="402">
        <v>103981</v>
      </c>
      <c r="O166" s="402">
        <v>8300.99</v>
      </c>
      <c r="P166" s="402">
        <v>7137.87</v>
      </c>
      <c r="Q166" s="402">
        <v>8632.0499999999993</v>
      </c>
      <c r="R166" s="402">
        <v>8412.5400000000009</v>
      </c>
      <c r="S166" s="402">
        <v>8581.39</v>
      </c>
      <c r="T166" s="402">
        <v>7806.96</v>
      </c>
      <c r="U166" s="402">
        <v>8574.36</v>
      </c>
      <c r="V166" s="402">
        <v>8577</v>
      </c>
      <c r="W166" s="402">
        <v>8664</v>
      </c>
      <c r="X166" s="402">
        <v>8750</v>
      </c>
      <c r="Y166" s="402">
        <v>8837</v>
      </c>
      <c r="Z166" s="402">
        <v>8926</v>
      </c>
      <c r="AA166" s="402">
        <v>101200.16</v>
      </c>
    </row>
    <row r="167" spans="10:27" ht="15" customHeight="1" x14ac:dyDescent="0.25">
      <c r="J167" s="400" t="s">
        <v>336</v>
      </c>
      <c r="K167" s="404" t="s">
        <v>600</v>
      </c>
      <c r="L167" s="402" t="s">
        <v>601</v>
      </c>
      <c r="M167" s="402">
        <v>551103</v>
      </c>
      <c r="N167" s="402">
        <v>456213</v>
      </c>
      <c r="O167" s="402">
        <v>34800</v>
      </c>
      <c r="P167" s="402">
        <v>33270</v>
      </c>
      <c r="Q167" s="402">
        <v>39130</v>
      </c>
      <c r="R167" s="402">
        <v>34180</v>
      </c>
      <c r="S167" s="402">
        <v>43405</v>
      </c>
      <c r="T167" s="402">
        <v>52020</v>
      </c>
      <c r="U167" s="402">
        <v>47560</v>
      </c>
      <c r="V167" s="402">
        <v>45600</v>
      </c>
      <c r="W167" s="402">
        <v>54872</v>
      </c>
      <c r="X167" s="402">
        <v>55145</v>
      </c>
      <c r="Y167" s="402">
        <v>55422</v>
      </c>
      <c r="Z167" s="402">
        <v>55699</v>
      </c>
      <c r="AA167" s="402">
        <v>551103</v>
      </c>
    </row>
    <row r="168" spans="10:27" ht="15" customHeight="1" x14ac:dyDescent="0.25">
      <c r="J168" s="400" t="s">
        <v>336</v>
      </c>
      <c r="K168" s="404" t="s">
        <v>602</v>
      </c>
      <c r="L168" s="402" t="s">
        <v>603</v>
      </c>
      <c r="M168" s="402">
        <v>49210</v>
      </c>
      <c r="N168" s="402">
        <v>600</v>
      </c>
      <c r="O168" s="402">
        <v>3860</v>
      </c>
      <c r="P168" s="402">
        <v>4630</v>
      </c>
      <c r="Q168" s="402">
        <v>4260</v>
      </c>
      <c r="R168" s="402">
        <v>10360</v>
      </c>
      <c r="S168" s="402">
        <v>5740</v>
      </c>
      <c r="T168" s="402">
        <v>6810</v>
      </c>
      <c r="U168" s="402">
        <v>13250</v>
      </c>
      <c r="V168" s="402">
        <v>0</v>
      </c>
      <c r="W168" s="402">
        <v>300</v>
      </c>
      <c r="X168" s="402">
        <v>0</v>
      </c>
      <c r="Y168" s="402">
        <v>0</v>
      </c>
      <c r="Z168" s="402">
        <v>0</v>
      </c>
      <c r="AA168" s="402">
        <v>49210</v>
      </c>
    </row>
    <row r="169" spans="10:27" ht="15" customHeight="1" x14ac:dyDescent="0.25">
      <c r="J169" s="400" t="s">
        <v>336</v>
      </c>
      <c r="K169" s="404" t="s">
        <v>604</v>
      </c>
      <c r="L169" s="402" t="s">
        <v>605</v>
      </c>
      <c r="M169" s="402">
        <v>5920</v>
      </c>
      <c r="N169" s="402">
        <v>6660</v>
      </c>
      <c r="O169" s="402">
        <v>0</v>
      </c>
      <c r="P169" s="402">
        <v>185</v>
      </c>
      <c r="Q169" s="402">
        <v>925</v>
      </c>
      <c r="R169" s="402">
        <v>370</v>
      </c>
      <c r="S169" s="402">
        <v>370</v>
      </c>
      <c r="T169" s="402">
        <v>370</v>
      </c>
      <c r="U169" s="402">
        <v>925</v>
      </c>
      <c r="V169" s="402">
        <v>555</v>
      </c>
      <c r="W169" s="402">
        <v>555</v>
      </c>
      <c r="X169" s="402">
        <v>555</v>
      </c>
      <c r="Y169" s="402">
        <v>555</v>
      </c>
      <c r="Z169" s="402">
        <v>555</v>
      </c>
      <c r="AA169" s="402">
        <v>5920</v>
      </c>
    </row>
    <row r="170" spans="10:27" ht="15" customHeight="1" x14ac:dyDescent="0.25">
      <c r="J170" s="400" t="s">
        <v>336</v>
      </c>
      <c r="K170" s="404" t="s">
        <v>606</v>
      </c>
      <c r="L170" s="402" t="s">
        <v>607</v>
      </c>
      <c r="M170" s="402">
        <v>1399294.52</v>
      </c>
      <c r="N170" s="402">
        <v>1488888</v>
      </c>
      <c r="O170" s="402">
        <v>97216</v>
      </c>
      <c r="P170" s="402">
        <v>100348.52</v>
      </c>
      <c r="Q170" s="402">
        <v>122292</v>
      </c>
      <c r="R170" s="402">
        <v>98798</v>
      </c>
      <c r="S170" s="402">
        <v>118492</v>
      </c>
      <c r="T170" s="402">
        <v>126874</v>
      </c>
      <c r="U170" s="402">
        <v>114904</v>
      </c>
      <c r="V170" s="402">
        <v>124074</v>
      </c>
      <c r="W170" s="402">
        <v>124074</v>
      </c>
      <c r="X170" s="402">
        <v>124074</v>
      </c>
      <c r="Y170" s="402">
        <v>124074</v>
      </c>
      <c r="Z170" s="402">
        <v>124074</v>
      </c>
      <c r="AA170" s="402">
        <v>1399294.52</v>
      </c>
    </row>
    <row r="171" spans="10:27" ht="15" customHeight="1" x14ac:dyDescent="0.25">
      <c r="J171" s="400" t="s">
        <v>336</v>
      </c>
      <c r="K171" s="404" t="s">
        <v>608</v>
      </c>
      <c r="L171" s="402" t="s">
        <v>609</v>
      </c>
      <c r="M171" s="402">
        <v>1784092</v>
      </c>
      <c r="N171" s="402">
        <v>1500000</v>
      </c>
      <c r="O171" s="402">
        <v>150744</v>
      </c>
      <c r="P171" s="402">
        <v>153984</v>
      </c>
      <c r="Q171" s="402">
        <v>200328</v>
      </c>
      <c r="R171" s="402">
        <v>157512</v>
      </c>
      <c r="S171" s="402">
        <v>183456</v>
      </c>
      <c r="T171" s="402">
        <v>187152</v>
      </c>
      <c r="U171" s="402">
        <v>125916</v>
      </c>
      <c r="V171" s="402">
        <v>125000</v>
      </c>
      <c r="W171" s="402">
        <v>125000</v>
      </c>
      <c r="X171" s="402">
        <v>125000</v>
      </c>
      <c r="Y171" s="402">
        <v>125000</v>
      </c>
      <c r="Z171" s="402">
        <v>125000</v>
      </c>
      <c r="AA171" s="402">
        <v>1784092</v>
      </c>
    </row>
    <row r="172" spans="10:27" ht="15" customHeight="1" x14ac:dyDescent="0.25">
      <c r="J172" s="400" t="s">
        <v>336</v>
      </c>
      <c r="K172" s="404" t="s">
        <v>610</v>
      </c>
      <c r="L172" s="402" t="s">
        <v>611</v>
      </c>
      <c r="M172" s="402">
        <v>11717502.150130499</v>
      </c>
      <c r="N172" s="402">
        <v>11534139.8163132</v>
      </c>
      <c r="O172" s="402">
        <v>1100451.23</v>
      </c>
      <c r="P172" s="402">
        <v>987898.03</v>
      </c>
      <c r="Q172" s="402">
        <v>905185.82</v>
      </c>
      <c r="R172" s="402">
        <v>915133.21</v>
      </c>
      <c r="S172" s="402">
        <v>936618.12</v>
      </c>
      <c r="T172" s="402">
        <v>1010341.08</v>
      </c>
      <c r="U172" s="402">
        <v>1055983.07</v>
      </c>
      <c r="V172" s="402">
        <v>961178.31802610005</v>
      </c>
      <c r="W172" s="402">
        <v>961178.31802610005</v>
      </c>
      <c r="X172" s="402">
        <v>961178.31802610005</v>
      </c>
      <c r="Y172" s="402">
        <v>961178.31802610005</v>
      </c>
      <c r="Z172" s="402">
        <v>961178.31802610005</v>
      </c>
      <c r="AA172" s="402">
        <v>11717502.150130499</v>
      </c>
    </row>
    <row r="173" spans="10:27" ht="15" customHeight="1" x14ac:dyDescent="0.25">
      <c r="J173" s="400" t="s">
        <v>336</v>
      </c>
      <c r="K173" s="404" t="s">
        <v>612</v>
      </c>
      <c r="L173" s="402" t="s">
        <v>613</v>
      </c>
      <c r="M173" s="402">
        <v>1753046</v>
      </c>
      <c r="N173" s="402">
        <v>2048088</v>
      </c>
      <c r="O173" s="402">
        <v>142352</v>
      </c>
      <c r="P173" s="402">
        <v>132943</v>
      </c>
      <c r="Q173" s="402">
        <v>152552</v>
      </c>
      <c r="R173" s="402">
        <v>98448</v>
      </c>
      <c r="S173" s="402">
        <v>127792</v>
      </c>
      <c r="T173" s="402">
        <v>108501</v>
      </c>
      <c r="U173" s="402">
        <v>137088</v>
      </c>
      <c r="V173" s="402">
        <v>170674</v>
      </c>
      <c r="W173" s="402">
        <v>170674</v>
      </c>
      <c r="X173" s="402">
        <v>170674</v>
      </c>
      <c r="Y173" s="402">
        <v>170674</v>
      </c>
      <c r="Z173" s="402">
        <v>170674</v>
      </c>
      <c r="AA173" s="402">
        <v>1753046</v>
      </c>
    </row>
    <row r="174" spans="10:27" ht="15" customHeight="1" x14ac:dyDescent="0.25">
      <c r="J174" s="400" t="s">
        <v>336</v>
      </c>
      <c r="K174" s="404" t="s">
        <v>614</v>
      </c>
      <c r="L174" s="402" t="s">
        <v>615</v>
      </c>
      <c r="M174" s="402">
        <v>358310</v>
      </c>
      <c r="N174" s="402">
        <v>499020</v>
      </c>
      <c r="O174" s="402">
        <v>32350</v>
      </c>
      <c r="P174" s="402">
        <v>32000</v>
      </c>
      <c r="Q174" s="402">
        <v>41280</v>
      </c>
      <c r="R174" s="402">
        <v>30400</v>
      </c>
      <c r="S174" s="402">
        <v>37120</v>
      </c>
      <c r="T174" s="402">
        <v>35840</v>
      </c>
      <c r="U174" s="402">
        <v>24320</v>
      </c>
      <c r="V174" s="402">
        <v>25000</v>
      </c>
      <c r="W174" s="402">
        <v>25000</v>
      </c>
      <c r="X174" s="402">
        <v>25000</v>
      </c>
      <c r="Y174" s="402">
        <v>25000</v>
      </c>
      <c r="Z174" s="402">
        <v>25000</v>
      </c>
      <c r="AA174" s="402">
        <v>358310</v>
      </c>
    </row>
    <row r="175" spans="10:27" ht="15" customHeight="1" x14ac:dyDescent="0.25">
      <c r="J175" s="400" t="s">
        <v>336</v>
      </c>
      <c r="K175" s="404" t="s">
        <v>616</v>
      </c>
      <c r="L175" s="402" t="s">
        <v>617</v>
      </c>
      <c r="M175" s="402">
        <v>10875.71</v>
      </c>
      <c r="N175" s="402">
        <v>11300.904</v>
      </c>
      <c r="O175" s="402">
        <v>400</v>
      </c>
      <c r="P175" s="402">
        <v>962</v>
      </c>
      <c r="Q175" s="402">
        <v>1150</v>
      </c>
      <c r="R175" s="402">
        <v>505</v>
      </c>
      <c r="S175" s="402">
        <v>600</v>
      </c>
      <c r="T175" s="402">
        <v>1100</v>
      </c>
      <c r="U175" s="402">
        <v>1450</v>
      </c>
      <c r="V175" s="402">
        <v>941.74199999999996</v>
      </c>
      <c r="W175" s="402">
        <v>941.74199999999996</v>
      </c>
      <c r="X175" s="402">
        <v>941.74199999999996</v>
      </c>
      <c r="Y175" s="402">
        <v>941.74199999999996</v>
      </c>
      <c r="Z175" s="402">
        <v>941.74199999999996</v>
      </c>
      <c r="AA175" s="402">
        <v>10875.71</v>
      </c>
    </row>
    <row r="176" spans="10:27" ht="15" customHeight="1" x14ac:dyDescent="0.25">
      <c r="J176" s="400" t="s">
        <v>336</v>
      </c>
      <c r="K176" s="404" t="s">
        <v>618</v>
      </c>
      <c r="L176" s="402" t="s">
        <v>619</v>
      </c>
      <c r="M176" s="402">
        <v>1435452.1608849999</v>
      </c>
      <c r="N176" s="402">
        <v>1029037.538124</v>
      </c>
      <c r="O176" s="402">
        <v>138583.39000000001</v>
      </c>
      <c r="P176" s="402">
        <v>121870.52</v>
      </c>
      <c r="Q176" s="402">
        <v>136613.26</v>
      </c>
      <c r="R176" s="402">
        <v>122836.57</v>
      </c>
      <c r="S176" s="402">
        <v>140334.01999999999</v>
      </c>
      <c r="T176" s="402">
        <v>176691.98</v>
      </c>
      <c r="U176" s="402">
        <v>169756.78</v>
      </c>
      <c r="V176" s="402">
        <v>85753.128177000006</v>
      </c>
      <c r="W176" s="402">
        <v>85753.128177000006</v>
      </c>
      <c r="X176" s="402">
        <v>85753.128177000006</v>
      </c>
      <c r="Y176" s="402">
        <v>85753.128177000006</v>
      </c>
      <c r="Z176" s="402">
        <v>85753.128177000006</v>
      </c>
      <c r="AA176" s="402">
        <v>1435452.1608849999</v>
      </c>
    </row>
    <row r="177" spans="10:27" ht="15" customHeight="1" x14ac:dyDescent="0.25">
      <c r="J177" s="400" t="s">
        <v>336</v>
      </c>
      <c r="K177" s="404" t="s">
        <v>620</v>
      </c>
      <c r="L177" s="402" t="s">
        <v>621</v>
      </c>
      <c r="M177" s="402">
        <v>40650</v>
      </c>
      <c r="N177" s="402">
        <v>33840</v>
      </c>
      <c r="O177" s="402">
        <v>7550</v>
      </c>
      <c r="P177" s="402">
        <v>5625</v>
      </c>
      <c r="Q177" s="402">
        <v>4975</v>
      </c>
      <c r="R177" s="402">
        <v>1500</v>
      </c>
      <c r="S177" s="402">
        <v>1150</v>
      </c>
      <c r="T177" s="402">
        <v>3000</v>
      </c>
      <c r="U177" s="402">
        <v>2750</v>
      </c>
      <c r="V177" s="402">
        <v>2820</v>
      </c>
      <c r="W177" s="402">
        <v>2820</v>
      </c>
      <c r="X177" s="402">
        <v>2820</v>
      </c>
      <c r="Y177" s="402">
        <v>2820</v>
      </c>
      <c r="Z177" s="402">
        <v>2820</v>
      </c>
      <c r="AA177" s="402">
        <v>40650</v>
      </c>
    </row>
    <row r="178" spans="10:27" ht="15" customHeight="1" x14ac:dyDescent="0.25">
      <c r="J178" s="400" t="s">
        <v>336</v>
      </c>
      <c r="K178" s="404" t="s">
        <v>622</v>
      </c>
      <c r="L178" s="402" t="s">
        <v>623</v>
      </c>
      <c r="M178" s="402">
        <v>-286622.59000000003</v>
      </c>
      <c r="N178" s="402">
        <v>0</v>
      </c>
      <c r="O178" s="402">
        <v>-781.77</v>
      </c>
      <c r="P178" s="402">
        <v>23245.21</v>
      </c>
      <c r="Q178" s="402">
        <v>4534.26</v>
      </c>
      <c r="R178" s="402">
        <v>-319596.92</v>
      </c>
      <c r="S178" s="402">
        <v>2196.2800000000002</v>
      </c>
      <c r="T178" s="402">
        <v>4617.3999999999996</v>
      </c>
      <c r="U178" s="402">
        <v>-837.05</v>
      </c>
      <c r="V178" s="402">
        <v>0</v>
      </c>
      <c r="W178" s="402">
        <v>0</v>
      </c>
      <c r="X178" s="402">
        <v>0</v>
      </c>
      <c r="Y178" s="402">
        <v>0</v>
      </c>
      <c r="Z178" s="402">
        <v>0</v>
      </c>
      <c r="AA178" s="402">
        <v>-286622.59000000003</v>
      </c>
    </row>
    <row r="179" spans="10:27" ht="15" customHeight="1" x14ac:dyDescent="0.2">
      <c r="J179" s="392" t="s">
        <v>336</v>
      </c>
      <c r="K179" s="403" t="s">
        <v>624</v>
      </c>
      <c r="L179" s="392" t="s">
        <v>625</v>
      </c>
      <c r="M179" s="393">
        <v>14420428.944964699</v>
      </c>
      <c r="N179" s="393">
        <v>14162317.5140412</v>
      </c>
      <c r="O179" s="393">
        <v>1112300.6399999999</v>
      </c>
      <c r="P179" s="393">
        <v>1567837.17</v>
      </c>
      <c r="Q179" s="393">
        <v>1169298.29</v>
      </c>
      <c r="R179" s="393">
        <v>1199256.56</v>
      </c>
      <c r="S179" s="393">
        <v>932452.15</v>
      </c>
      <c r="T179" s="393">
        <v>1274322.3899999999</v>
      </c>
      <c r="U179" s="393">
        <v>1173248.8400000001</v>
      </c>
      <c r="V179" s="393">
        <v>1248177.1828970001</v>
      </c>
      <c r="W179" s="393">
        <v>1162871.2593391</v>
      </c>
      <c r="X179" s="393">
        <v>1243363.4586813999</v>
      </c>
      <c r="Y179" s="393">
        <v>1147427.948237</v>
      </c>
      <c r="Z179" s="393">
        <v>1189873.0558102001</v>
      </c>
      <c r="AA179" s="393">
        <v>14420428.944964699</v>
      </c>
    </row>
    <row r="180" spans="10:27" ht="15" customHeight="1" x14ac:dyDescent="0.25">
      <c r="J180" s="400" t="s">
        <v>336</v>
      </c>
      <c r="K180" s="404" t="s">
        <v>626</v>
      </c>
      <c r="L180" s="402" t="s">
        <v>627</v>
      </c>
      <c r="M180" s="402">
        <v>710509.49</v>
      </c>
      <c r="N180" s="402">
        <v>637333.65</v>
      </c>
      <c r="O180" s="402">
        <v>27257.360000000001</v>
      </c>
      <c r="P180" s="402">
        <v>429504.7</v>
      </c>
      <c r="Q180" s="402">
        <v>19919.16</v>
      </c>
      <c r="R180" s="402">
        <v>33116.81</v>
      </c>
      <c r="S180" s="402">
        <v>242.32</v>
      </c>
      <c r="T180" s="402">
        <v>3546.98</v>
      </c>
      <c r="U180" s="402">
        <v>8249.41</v>
      </c>
      <c r="V180" s="402">
        <v>83768.539999999994</v>
      </c>
      <c r="W180" s="402">
        <v>18681.419999999998</v>
      </c>
      <c r="X180" s="402">
        <v>31949.83</v>
      </c>
      <c r="Y180" s="402">
        <v>23912.78</v>
      </c>
      <c r="Z180" s="402">
        <v>30360.18</v>
      </c>
      <c r="AA180" s="402">
        <v>710509.49</v>
      </c>
    </row>
    <row r="181" spans="10:27" ht="15" customHeight="1" x14ac:dyDescent="0.25">
      <c r="J181" s="400" t="s">
        <v>336</v>
      </c>
      <c r="K181" s="404" t="s">
        <v>628</v>
      </c>
      <c r="L181" s="402" t="s">
        <v>629</v>
      </c>
      <c r="M181" s="402">
        <v>26789.38</v>
      </c>
      <c r="N181" s="402">
        <v>53539</v>
      </c>
      <c r="O181" s="402">
        <v>3923</v>
      </c>
      <c r="P181" s="402">
        <v>360</v>
      </c>
      <c r="Q181" s="402">
        <v>368</v>
      </c>
      <c r="R181" s="402">
        <v>6521.8</v>
      </c>
      <c r="S181" s="402">
        <v>2125</v>
      </c>
      <c r="T181" s="402">
        <v>0</v>
      </c>
      <c r="U181" s="402">
        <v>0</v>
      </c>
      <c r="V181" s="402">
        <v>4511.58</v>
      </c>
      <c r="W181" s="402">
        <v>2180</v>
      </c>
      <c r="X181" s="402">
        <v>6170</v>
      </c>
      <c r="Y181" s="402">
        <v>530</v>
      </c>
      <c r="Z181" s="402">
        <v>100</v>
      </c>
      <c r="AA181" s="402">
        <v>26789.38</v>
      </c>
    </row>
    <row r="182" spans="10:27" ht="15" customHeight="1" x14ac:dyDescent="0.25">
      <c r="J182" s="400" t="s">
        <v>336</v>
      </c>
      <c r="K182" s="404" t="s">
        <v>630</v>
      </c>
      <c r="L182" s="402" t="s">
        <v>631</v>
      </c>
      <c r="M182" s="402">
        <v>115804.414</v>
      </c>
      <c r="N182" s="402">
        <v>111378.58560000001</v>
      </c>
      <c r="O182" s="402">
        <v>9913.81</v>
      </c>
      <c r="P182" s="402">
        <v>9913.81</v>
      </c>
      <c r="Q182" s="402">
        <v>9913.81</v>
      </c>
      <c r="R182" s="402">
        <v>9913.81</v>
      </c>
      <c r="S182" s="402">
        <v>9913.81</v>
      </c>
      <c r="T182" s="402">
        <v>9277.61</v>
      </c>
      <c r="U182" s="402">
        <v>10550.01</v>
      </c>
      <c r="V182" s="402">
        <v>9281.5488000000005</v>
      </c>
      <c r="W182" s="402">
        <v>9281.5488000000005</v>
      </c>
      <c r="X182" s="402">
        <v>9281.5488000000005</v>
      </c>
      <c r="Y182" s="402">
        <v>9281.5488000000005</v>
      </c>
      <c r="Z182" s="402">
        <v>9281.5488000000005</v>
      </c>
      <c r="AA182" s="402">
        <v>115804.414</v>
      </c>
    </row>
    <row r="183" spans="10:27" ht="15" customHeight="1" x14ac:dyDescent="0.25">
      <c r="J183" s="400" t="s">
        <v>336</v>
      </c>
      <c r="K183" s="404" t="s">
        <v>632</v>
      </c>
      <c r="L183" s="402" t="s">
        <v>633</v>
      </c>
      <c r="M183" s="402">
        <v>4726241.9400000004</v>
      </c>
      <c r="N183" s="402">
        <v>4640541</v>
      </c>
      <c r="O183" s="402">
        <v>389553.84</v>
      </c>
      <c r="P183" s="402">
        <v>389567.59</v>
      </c>
      <c r="Q183" s="402">
        <v>394005.8</v>
      </c>
      <c r="R183" s="402">
        <v>394005.8</v>
      </c>
      <c r="S183" s="402">
        <v>393098.83</v>
      </c>
      <c r="T183" s="402">
        <v>394912.76</v>
      </c>
      <c r="U183" s="402">
        <v>400817.32</v>
      </c>
      <c r="V183" s="402">
        <v>394056</v>
      </c>
      <c r="W183" s="402">
        <v>394056</v>
      </c>
      <c r="X183" s="402">
        <v>394056</v>
      </c>
      <c r="Y183" s="402">
        <v>394056</v>
      </c>
      <c r="Z183" s="402">
        <v>394056</v>
      </c>
      <c r="AA183" s="402">
        <v>4726241.9400000004</v>
      </c>
    </row>
    <row r="184" spans="10:27" ht="15" customHeight="1" x14ac:dyDescent="0.25">
      <c r="J184" s="400" t="s">
        <v>336</v>
      </c>
      <c r="K184" s="404" t="s">
        <v>634</v>
      </c>
      <c r="L184" s="402" t="s">
        <v>635</v>
      </c>
      <c r="M184" s="402">
        <v>187170.27</v>
      </c>
      <c r="N184" s="402">
        <v>187920</v>
      </c>
      <c r="O184" s="402">
        <v>16184.38</v>
      </c>
      <c r="P184" s="402">
        <v>16184.38</v>
      </c>
      <c r="Q184" s="402">
        <v>16184.38</v>
      </c>
      <c r="R184" s="402">
        <v>16184.38</v>
      </c>
      <c r="S184" s="402">
        <v>16184.38</v>
      </c>
      <c r="T184" s="402">
        <v>16184.38</v>
      </c>
      <c r="U184" s="402">
        <v>11763.99</v>
      </c>
      <c r="V184" s="402">
        <v>15660</v>
      </c>
      <c r="W184" s="402">
        <v>15660</v>
      </c>
      <c r="X184" s="402">
        <v>15660</v>
      </c>
      <c r="Y184" s="402">
        <v>15660</v>
      </c>
      <c r="Z184" s="402">
        <v>15660</v>
      </c>
      <c r="AA184" s="402">
        <v>187170.27</v>
      </c>
    </row>
    <row r="185" spans="10:27" ht="15" customHeight="1" x14ac:dyDescent="0.25">
      <c r="J185" s="400" t="s">
        <v>336</v>
      </c>
      <c r="K185" s="404" t="s">
        <v>636</v>
      </c>
      <c r="L185" s="402" t="s">
        <v>637</v>
      </c>
      <c r="M185" s="402">
        <v>18485.8733335</v>
      </c>
      <c r="N185" s="402">
        <v>19763.000000399999</v>
      </c>
      <c r="O185" s="402">
        <v>1464.47</v>
      </c>
      <c r="P185" s="402">
        <v>1464.47</v>
      </c>
      <c r="Q185" s="402">
        <v>1464.47</v>
      </c>
      <c r="R185" s="402">
        <v>1464.47</v>
      </c>
      <c r="S185" s="402">
        <v>1464.47</v>
      </c>
      <c r="T185" s="402">
        <v>1464.47</v>
      </c>
      <c r="U185" s="402">
        <v>1464.47</v>
      </c>
      <c r="V185" s="402">
        <v>1646.9166667</v>
      </c>
      <c r="W185" s="402">
        <v>1646.9166667</v>
      </c>
      <c r="X185" s="402">
        <v>1646.9166667</v>
      </c>
      <c r="Y185" s="402">
        <v>1646.9166667</v>
      </c>
      <c r="Z185" s="402">
        <v>1646.9166667</v>
      </c>
      <c r="AA185" s="402">
        <v>18485.8733335</v>
      </c>
    </row>
    <row r="186" spans="10:27" ht="15" customHeight="1" x14ac:dyDescent="0.25">
      <c r="J186" s="400" t="s">
        <v>336</v>
      </c>
      <c r="K186" s="404" t="s">
        <v>638</v>
      </c>
      <c r="L186" s="402" t="s">
        <v>639</v>
      </c>
      <c r="M186" s="402">
        <v>1813235.2520443001</v>
      </c>
      <c r="N186" s="402">
        <v>1755720.499911</v>
      </c>
      <c r="O186" s="402">
        <v>137316.88</v>
      </c>
      <c r="P186" s="402">
        <v>151762.60999999999</v>
      </c>
      <c r="Q186" s="402">
        <v>151320.97</v>
      </c>
      <c r="R186" s="402">
        <v>151456.71</v>
      </c>
      <c r="S186" s="402">
        <v>152460.14000000001</v>
      </c>
      <c r="T186" s="402">
        <v>152079.63</v>
      </c>
      <c r="U186" s="402">
        <v>152079.63</v>
      </c>
      <c r="V186" s="402">
        <v>148727.03253699999</v>
      </c>
      <c r="W186" s="402">
        <v>150684.74783800001</v>
      </c>
      <c r="X186" s="402">
        <v>154264.22903630001</v>
      </c>
      <c r="Y186" s="402">
        <v>155143.09314889999</v>
      </c>
      <c r="Z186" s="402">
        <v>155939.57948409999</v>
      </c>
      <c r="AA186" s="402">
        <v>1813235.2520443001</v>
      </c>
    </row>
    <row r="187" spans="10:27" ht="15" customHeight="1" x14ac:dyDescent="0.25">
      <c r="J187" s="400" t="s">
        <v>336</v>
      </c>
      <c r="K187" s="404" t="s">
        <v>640</v>
      </c>
      <c r="L187" s="402" t="s">
        <v>641</v>
      </c>
      <c r="M187" s="402">
        <v>2551807.46</v>
      </c>
      <c r="N187" s="402">
        <v>2541574</v>
      </c>
      <c r="O187" s="402">
        <v>201457.93</v>
      </c>
      <c r="P187" s="402">
        <v>220264.3</v>
      </c>
      <c r="Q187" s="402">
        <v>227192.7</v>
      </c>
      <c r="R187" s="402">
        <v>237562.31</v>
      </c>
      <c r="S187" s="402">
        <v>6937.61</v>
      </c>
      <c r="T187" s="402">
        <v>346720.58</v>
      </c>
      <c r="U187" s="402">
        <v>238188.03</v>
      </c>
      <c r="V187" s="402">
        <v>221540</v>
      </c>
      <c r="W187" s="402">
        <v>203530</v>
      </c>
      <c r="X187" s="402">
        <v>261125</v>
      </c>
      <c r="Y187" s="402">
        <v>176985</v>
      </c>
      <c r="Z187" s="402">
        <v>210304</v>
      </c>
      <c r="AA187" s="402">
        <v>2551807.46</v>
      </c>
    </row>
    <row r="188" spans="10:27" ht="15" customHeight="1" x14ac:dyDescent="0.25">
      <c r="J188" s="400" t="s">
        <v>336</v>
      </c>
      <c r="K188" s="404" t="s">
        <v>642</v>
      </c>
      <c r="L188" s="402" t="s">
        <v>643</v>
      </c>
      <c r="M188" s="402">
        <v>575389</v>
      </c>
      <c r="N188" s="402">
        <v>612468</v>
      </c>
      <c r="O188" s="402">
        <v>45742</v>
      </c>
      <c r="P188" s="402">
        <v>45742</v>
      </c>
      <c r="Q188" s="402">
        <v>45742</v>
      </c>
      <c r="R188" s="402">
        <v>45742</v>
      </c>
      <c r="S188" s="402">
        <v>45742</v>
      </c>
      <c r="T188" s="402">
        <v>45742</v>
      </c>
      <c r="U188" s="402">
        <v>45742</v>
      </c>
      <c r="V188" s="402">
        <v>51039</v>
      </c>
      <c r="W188" s="402">
        <v>51039</v>
      </c>
      <c r="X188" s="402">
        <v>51039</v>
      </c>
      <c r="Y188" s="402">
        <v>51039</v>
      </c>
      <c r="Z188" s="402">
        <v>51039</v>
      </c>
      <c r="AA188" s="402">
        <v>575389</v>
      </c>
    </row>
    <row r="189" spans="10:27" ht="15" customHeight="1" x14ac:dyDescent="0.25">
      <c r="J189" s="400" t="s">
        <v>336</v>
      </c>
      <c r="K189" s="404" t="s">
        <v>644</v>
      </c>
      <c r="L189" s="402" t="s">
        <v>645</v>
      </c>
      <c r="M189" s="402">
        <v>3694995.8655869002</v>
      </c>
      <c r="N189" s="402">
        <v>3602079.7785298</v>
      </c>
      <c r="O189" s="402">
        <v>279486.96999999997</v>
      </c>
      <c r="P189" s="402">
        <v>303073.31</v>
      </c>
      <c r="Q189" s="402">
        <v>303187</v>
      </c>
      <c r="R189" s="402">
        <v>303288.46999999997</v>
      </c>
      <c r="S189" s="402">
        <v>304283.59000000003</v>
      </c>
      <c r="T189" s="402">
        <v>304393.98</v>
      </c>
      <c r="U189" s="402">
        <v>304393.98</v>
      </c>
      <c r="V189" s="402">
        <v>317946.5648933</v>
      </c>
      <c r="W189" s="402">
        <v>316111.62603440002</v>
      </c>
      <c r="X189" s="402">
        <v>318170.93417840003</v>
      </c>
      <c r="Y189" s="402">
        <v>319173.60962140001</v>
      </c>
      <c r="Z189" s="402">
        <v>321485.83085939998</v>
      </c>
      <c r="AA189" s="402">
        <v>3694995.8655869002</v>
      </c>
    </row>
    <row r="190" spans="10:27" ht="15" customHeight="1" x14ac:dyDescent="0.2">
      <c r="J190" s="392" t="s">
        <v>336</v>
      </c>
      <c r="K190" s="403" t="s">
        <v>646</v>
      </c>
      <c r="L190" s="392" t="s">
        <v>647</v>
      </c>
      <c r="M190" s="393">
        <v>12314643.4397467</v>
      </c>
      <c r="N190" s="393">
        <v>13814808.09</v>
      </c>
      <c r="O190" s="393">
        <v>1168887.28</v>
      </c>
      <c r="P190" s="393">
        <v>1248053.3400000001</v>
      </c>
      <c r="Q190" s="393">
        <v>950941.94</v>
      </c>
      <c r="R190" s="393">
        <v>1023340.98</v>
      </c>
      <c r="S190" s="393">
        <v>1270813.01</v>
      </c>
      <c r="T190" s="393">
        <v>744952.17</v>
      </c>
      <c r="U190" s="393">
        <v>918163.76</v>
      </c>
      <c r="V190" s="393">
        <v>936186.67842869996</v>
      </c>
      <c r="W190" s="393">
        <v>915026.64379749994</v>
      </c>
      <c r="X190" s="393">
        <v>1164606.2149228</v>
      </c>
      <c r="Y190" s="393">
        <v>930125.6516016</v>
      </c>
      <c r="Z190" s="393">
        <v>1043545.7709961</v>
      </c>
      <c r="AA190" s="393">
        <v>12314643.4397467</v>
      </c>
    </row>
    <row r="191" spans="10:27" ht="15" customHeight="1" x14ac:dyDescent="0.25">
      <c r="J191" s="400" t="s">
        <v>336</v>
      </c>
      <c r="K191" s="404" t="s">
        <v>648</v>
      </c>
      <c r="L191" s="402" t="s">
        <v>649</v>
      </c>
      <c r="M191" s="402">
        <v>1208692.46</v>
      </c>
      <c r="N191" s="402">
        <v>600000</v>
      </c>
      <c r="O191" s="402">
        <v>90288.02</v>
      </c>
      <c r="P191" s="402">
        <v>103664.79</v>
      </c>
      <c r="Q191" s="402">
        <v>22177.14</v>
      </c>
      <c r="R191" s="402">
        <v>88385.64</v>
      </c>
      <c r="S191" s="402">
        <v>435596.98</v>
      </c>
      <c r="T191" s="402">
        <v>-137467.29999999999</v>
      </c>
      <c r="U191" s="402">
        <v>0</v>
      </c>
      <c r="V191" s="402">
        <v>200000</v>
      </c>
      <c r="W191" s="402">
        <v>0</v>
      </c>
      <c r="X191" s="402">
        <v>200000</v>
      </c>
      <c r="Y191" s="402">
        <v>0</v>
      </c>
      <c r="Z191" s="402">
        <v>206047.19</v>
      </c>
      <c r="AA191" s="402">
        <v>1208692.46</v>
      </c>
    </row>
    <row r="192" spans="10:27" ht="15" customHeight="1" x14ac:dyDescent="0.25">
      <c r="J192" s="400" t="s">
        <v>336</v>
      </c>
      <c r="K192" s="404" t="s">
        <v>650</v>
      </c>
      <c r="L192" s="402" t="s">
        <v>651</v>
      </c>
      <c r="M192" s="402">
        <v>92236.39</v>
      </c>
      <c r="N192" s="402">
        <v>89500</v>
      </c>
      <c r="O192" s="402">
        <v>6769.99</v>
      </c>
      <c r="P192" s="402">
        <v>7700.01</v>
      </c>
      <c r="Q192" s="402">
        <v>6464.21</v>
      </c>
      <c r="R192" s="402">
        <v>6791.17</v>
      </c>
      <c r="S192" s="402">
        <v>8138.23</v>
      </c>
      <c r="T192" s="402">
        <v>8343.6</v>
      </c>
      <c r="U192" s="402">
        <v>9529.18</v>
      </c>
      <c r="V192" s="402">
        <v>8500</v>
      </c>
      <c r="W192" s="402">
        <v>8000</v>
      </c>
      <c r="X192" s="402">
        <v>8000</v>
      </c>
      <c r="Y192" s="402">
        <v>7000</v>
      </c>
      <c r="Z192" s="402">
        <v>7000</v>
      </c>
      <c r="AA192" s="402">
        <v>92236.39</v>
      </c>
    </row>
    <row r="193" spans="10:27" ht="15" customHeight="1" x14ac:dyDescent="0.25">
      <c r="J193" s="400" t="s">
        <v>336</v>
      </c>
      <c r="K193" s="404" t="s">
        <v>652</v>
      </c>
      <c r="L193" s="402" t="s">
        <v>653</v>
      </c>
      <c r="M193" s="402">
        <v>38.68</v>
      </c>
      <c r="N193" s="402">
        <v>0</v>
      </c>
      <c r="O193" s="402">
        <v>0</v>
      </c>
      <c r="P193" s="402">
        <v>0</v>
      </c>
      <c r="Q193" s="402">
        <v>0</v>
      </c>
      <c r="R193" s="402">
        <v>26.2</v>
      </c>
      <c r="S193" s="402">
        <v>12.48</v>
      </c>
      <c r="T193" s="402">
        <v>0</v>
      </c>
      <c r="U193" s="402">
        <v>0</v>
      </c>
      <c r="V193" s="402">
        <v>0</v>
      </c>
      <c r="W193" s="402">
        <v>0</v>
      </c>
      <c r="X193" s="402">
        <v>0</v>
      </c>
      <c r="Y193" s="402">
        <v>0</v>
      </c>
      <c r="Z193" s="402">
        <v>0</v>
      </c>
      <c r="AA193" s="402">
        <v>38.68</v>
      </c>
    </row>
    <row r="194" spans="10:27" ht="15" customHeight="1" x14ac:dyDescent="0.25">
      <c r="J194" s="400" t="s">
        <v>336</v>
      </c>
      <c r="K194" s="404" t="s">
        <v>654</v>
      </c>
      <c r="L194" s="402" t="s">
        <v>655</v>
      </c>
      <c r="M194" s="402">
        <v>121970.76</v>
      </c>
      <c r="N194" s="402">
        <v>135252</v>
      </c>
      <c r="O194" s="402">
        <v>10164.23</v>
      </c>
      <c r="P194" s="402">
        <v>10164.23</v>
      </c>
      <c r="Q194" s="402">
        <v>10164.23</v>
      </c>
      <c r="R194" s="402">
        <v>10164.23</v>
      </c>
      <c r="S194" s="402">
        <v>10164.23</v>
      </c>
      <c r="T194" s="402">
        <v>10164.23</v>
      </c>
      <c r="U194" s="402">
        <v>10164.23</v>
      </c>
      <c r="V194" s="402">
        <v>10164.23</v>
      </c>
      <c r="W194" s="402">
        <v>10164.23</v>
      </c>
      <c r="X194" s="402">
        <v>10164.23</v>
      </c>
      <c r="Y194" s="402">
        <v>10164.23</v>
      </c>
      <c r="Z194" s="402">
        <v>10164.23</v>
      </c>
      <c r="AA194" s="402">
        <v>121970.76</v>
      </c>
    </row>
    <row r="195" spans="10:27" ht="15" customHeight="1" x14ac:dyDescent="0.25">
      <c r="J195" s="400" t="s">
        <v>336</v>
      </c>
      <c r="K195" s="404" t="s">
        <v>656</v>
      </c>
      <c r="L195" s="402" t="s">
        <v>657</v>
      </c>
      <c r="M195" s="402">
        <v>30101.819746699999</v>
      </c>
      <c r="N195" s="402">
        <v>355945.2</v>
      </c>
      <c r="O195" s="402">
        <v>678.32</v>
      </c>
      <c r="P195" s="402">
        <v>11261.1</v>
      </c>
      <c r="Q195" s="402">
        <v>208.71</v>
      </c>
      <c r="R195" s="402">
        <v>-60.98</v>
      </c>
      <c r="S195" s="402">
        <v>0</v>
      </c>
      <c r="T195" s="402">
        <v>0</v>
      </c>
      <c r="U195" s="402">
        <v>641.73</v>
      </c>
      <c r="V195" s="402">
        <v>1496.0584286999999</v>
      </c>
      <c r="W195" s="402">
        <v>1430.9837975</v>
      </c>
      <c r="X195" s="402">
        <v>1451.5749228</v>
      </c>
      <c r="Y195" s="402">
        <v>11540.571601600001</v>
      </c>
      <c r="Z195" s="402">
        <v>1453.7509961000001</v>
      </c>
      <c r="AA195" s="402">
        <v>30101.819746699999</v>
      </c>
    </row>
    <row r="196" spans="10:27" ht="15" customHeight="1" x14ac:dyDescent="0.25">
      <c r="J196" s="400" t="s">
        <v>336</v>
      </c>
      <c r="K196" s="404" t="s">
        <v>658</v>
      </c>
      <c r="L196" s="402" t="s">
        <v>659</v>
      </c>
      <c r="M196" s="402">
        <v>532366.19999999995</v>
      </c>
      <c r="N196" s="402">
        <v>3400000</v>
      </c>
      <c r="O196" s="402">
        <v>0</v>
      </c>
      <c r="P196" s="402">
        <v>0</v>
      </c>
      <c r="Q196" s="402">
        <v>0</v>
      </c>
      <c r="R196" s="402">
        <v>0</v>
      </c>
      <c r="S196" s="402">
        <v>0</v>
      </c>
      <c r="T196" s="402">
        <v>0</v>
      </c>
      <c r="U196" s="402">
        <v>0</v>
      </c>
      <c r="V196" s="402">
        <v>0</v>
      </c>
      <c r="W196" s="402">
        <v>137236.20000000001</v>
      </c>
      <c r="X196" s="402">
        <v>160110</v>
      </c>
      <c r="Y196" s="402">
        <v>162510</v>
      </c>
      <c r="Z196" s="402">
        <v>72510</v>
      </c>
      <c r="AA196" s="402">
        <v>532366.19999999995</v>
      </c>
    </row>
    <row r="197" spans="10:27" ht="15" customHeight="1" x14ac:dyDescent="0.25">
      <c r="J197" s="400" t="s">
        <v>336</v>
      </c>
      <c r="K197" s="404" t="s">
        <v>660</v>
      </c>
      <c r="L197" s="402" t="s">
        <v>661</v>
      </c>
      <c r="M197" s="402">
        <v>84089.95</v>
      </c>
      <c r="N197" s="402">
        <v>98000</v>
      </c>
      <c r="O197" s="402">
        <v>0</v>
      </c>
      <c r="P197" s="402">
        <v>0</v>
      </c>
      <c r="Q197" s="402">
        <v>0</v>
      </c>
      <c r="R197" s="402">
        <v>0</v>
      </c>
      <c r="S197" s="402">
        <v>0</v>
      </c>
      <c r="T197" s="402">
        <v>0</v>
      </c>
      <c r="U197" s="402">
        <v>14089.95</v>
      </c>
      <c r="V197" s="402">
        <v>8000</v>
      </c>
      <c r="W197" s="402">
        <v>29000</v>
      </c>
      <c r="X197" s="402">
        <v>10000</v>
      </c>
      <c r="Y197" s="402">
        <v>11000</v>
      </c>
      <c r="Z197" s="402">
        <v>12000</v>
      </c>
      <c r="AA197" s="402">
        <v>84089.95</v>
      </c>
    </row>
    <row r="198" spans="10:27" ht="15" customHeight="1" x14ac:dyDescent="0.25">
      <c r="J198" s="400" t="s">
        <v>336</v>
      </c>
      <c r="K198" s="404" t="s">
        <v>662</v>
      </c>
      <c r="L198" s="402" t="s">
        <v>663</v>
      </c>
      <c r="M198" s="402">
        <v>8746795.5800000001</v>
      </c>
      <c r="N198" s="402">
        <v>8450876</v>
      </c>
      <c r="O198" s="402">
        <v>866809.68</v>
      </c>
      <c r="P198" s="402">
        <v>917101.5</v>
      </c>
      <c r="Q198" s="402">
        <v>688825.88</v>
      </c>
      <c r="R198" s="402">
        <v>679902.68</v>
      </c>
      <c r="S198" s="402">
        <v>751111.69</v>
      </c>
      <c r="T198" s="402">
        <v>789429.6</v>
      </c>
      <c r="U198" s="402">
        <v>706727.55</v>
      </c>
      <c r="V198" s="402">
        <v>648486</v>
      </c>
      <c r="W198" s="402">
        <v>648486</v>
      </c>
      <c r="X198" s="402">
        <v>683305</v>
      </c>
      <c r="Y198" s="402">
        <v>683305</v>
      </c>
      <c r="Z198" s="402">
        <v>683305</v>
      </c>
      <c r="AA198" s="402">
        <v>8746795.5800000001</v>
      </c>
    </row>
    <row r="199" spans="10:27" ht="15" customHeight="1" x14ac:dyDescent="0.25">
      <c r="J199" s="400" t="s">
        <v>336</v>
      </c>
      <c r="K199" s="404" t="s">
        <v>664</v>
      </c>
      <c r="L199" s="402" t="s">
        <v>665</v>
      </c>
      <c r="M199" s="402">
        <v>208493.74</v>
      </c>
      <c r="N199" s="402">
        <v>202740</v>
      </c>
      <c r="O199" s="402">
        <v>19334.689999999999</v>
      </c>
      <c r="P199" s="402">
        <v>19337.43</v>
      </c>
      <c r="Q199" s="402">
        <v>16616.939999999999</v>
      </c>
      <c r="R199" s="402">
        <v>16501.25</v>
      </c>
      <c r="S199" s="402">
        <v>17554.07</v>
      </c>
      <c r="T199" s="402">
        <v>18005.09</v>
      </c>
      <c r="U199" s="402">
        <v>17260.27</v>
      </c>
      <c r="V199" s="402">
        <v>16424</v>
      </c>
      <c r="W199" s="402">
        <v>16424</v>
      </c>
      <c r="X199" s="402">
        <v>17012</v>
      </c>
      <c r="Y199" s="402">
        <v>17012</v>
      </c>
      <c r="Z199" s="402">
        <v>17012</v>
      </c>
      <c r="AA199" s="402">
        <v>208493.74</v>
      </c>
    </row>
    <row r="200" spans="10:27" ht="15" customHeight="1" x14ac:dyDescent="0.25">
      <c r="J200" s="400" t="s">
        <v>336</v>
      </c>
      <c r="K200" s="404" t="s">
        <v>666</v>
      </c>
      <c r="L200" s="402" t="s">
        <v>667</v>
      </c>
      <c r="M200" s="402">
        <v>18505.03</v>
      </c>
      <c r="N200" s="402">
        <v>0</v>
      </c>
      <c r="O200" s="402">
        <v>7372.44</v>
      </c>
      <c r="P200" s="402">
        <v>2433.52</v>
      </c>
      <c r="Q200" s="402">
        <v>56.58</v>
      </c>
      <c r="R200" s="402">
        <v>0</v>
      </c>
      <c r="S200" s="402">
        <v>0</v>
      </c>
      <c r="T200" s="402">
        <v>8642.49</v>
      </c>
      <c r="U200" s="402">
        <v>0</v>
      </c>
      <c r="V200" s="402">
        <v>0</v>
      </c>
      <c r="W200" s="402">
        <v>0</v>
      </c>
      <c r="X200" s="402">
        <v>0</v>
      </c>
      <c r="Y200" s="402">
        <v>0</v>
      </c>
      <c r="Z200" s="402">
        <v>0</v>
      </c>
      <c r="AA200" s="402">
        <v>18505.03</v>
      </c>
    </row>
    <row r="201" spans="10:27" ht="15" customHeight="1" x14ac:dyDescent="0.25">
      <c r="J201" s="400" t="s">
        <v>336</v>
      </c>
      <c r="K201" s="404" t="s">
        <v>668</v>
      </c>
      <c r="L201" s="402" t="s">
        <v>669</v>
      </c>
      <c r="M201" s="402">
        <v>498520.13</v>
      </c>
      <c r="N201" s="402">
        <v>0</v>
      </c>
      <c r="O201" s="402">
        <v>70957.37</v>
      </c>
      <c r="P201" s="402">
        <v>108977.12</v>
      </c>
      <c r="Q201" s="402">
        <v>71366.880000000005</v>
      </c>
      <c r="R201" s="402">
        <v>134718.04</v>
      </c>
      <c r="S201" s="402">
        <v>0</v>
      </c>
      <c r="T201" s="402">
        <v>4015.32</v>
      </c>
      <c r="U201" s="402">
        <v>108485.4</v>
      </c>
      <c r="V201" s="402">
        <v>0</v>
      </c>
      <c r="W201" s="402">
        <v>0</v>
      </c>
      <c r="X201" s="402">
        <v>0</v>
      </c>
      <c r="Y201" s="402">
        <v>0</v>
      </c>
      <c r="Z201" s="402">
        <v>0</v>
      </c>
      <c r="AA201" s="402">
        <v>498520.13</v>
      </c>
    </row>
    <row r="202" spans="10:27" ht="15" customHeight="1" x14ac:dyDescent="0.25">
      <c r="J202" s="400" t="s">
        <v>336</v>
      </c>
      <c r="K202" s="404" t="s">
        <v>670</v>
      </c>
      <c r="L202" s="402" t="s">
        <v>671</v>
      </c>
      <c r="M202" s="402">
        <v>9735.02</v>
      </c>
      <c r="N202" s="402">
        <v>0</v>
      </c>
      <c r="O202" s="402">
        <v>1517.43</v>
      </c>
      <c r="P202" s="402">
        <v>1583.01</v>
      </c>
      <c r="Q202" s="402">
        <v>1437.43</v>
      </c>
      <c r="R202" s="402">
        <v>2326.09</v>
      </c>
      <c r="S202" s="402">
        <v>0</v>
      </c>
      <c r="T202" s="402">
        <v>60.14</v>
      </c>
      <c r="U202" s="402">
        <v>2810.92</v>
      </c>
      <c r="V202" s="402">
        <v>0</v>
      </c>
      <c r="W202" s="402">
        <v>0</v>
      </c>
      <c r="X202" s="402">
        <v>0</v>
      </c>
      <c r="Y202" s="402">
        <v>0</v>
      </c>
      <c r="Z202" s="402">
        <v>0</v>
      </c>
      <c r="AA202" s="402">
        <v>9735.02</v>
      </c>
    </row>
    <row r="203" spans="10:27" ht="15" customHeight="1" x14ac:dyDescent="0.25">
      <c r="J203" s="400" t="s">
        <v>336</v>
      </c>
      <c r="K203" s="404" t="s">
        <v>672</v>
      </c>
      <c r="L203" s="402" t="s">
        <v>673</v>
      </c>
      <c r="M203" s="402">
        <v>340872.51</v>
      </c>
      <c r="N203" s="402">
        <v>473494.89</v>
      </c>
      <c r="O203" s="402">
        <v>16412.45</v>
      </c>
      <c r="P203" s="402">
        <v>1372.77</v>
      </c>
      <c r="Q203" s="402">
        <v>66563.179999999993</v>
      </c>
      <c r="R203" s="402">
        <v>19929.009999999998</v>
      </c>
      <c r="S203" s="402">
        <v>-3267.38</v>
      </c>
      <c r="T203" s="402">
        <v>0</v>
      </c>
      <c r="U203" s="402">
        <v>0</v>
      </c>
      <c r="V203" s="402">
        <v>42366.39</v>
      </c>
      <c r="W203" s="402">
        <v>63535.23</v>
      </c>
      <c r="X203" s="402">
        <v>73813.41</v>
      </c>
      <c r="Y203" s="402">
        <v>26843.85</v>
      </c>
      <c r="Z203" s="402">
        <v>33303.599999999999</v>
      </c>
      <c r="AA203" s="402">
        <v>340872.51</v>
      </c>
    </row>
    <row r="204" spans="10:27" ht="15" customHeight="1" x14ac:dyDescent="0.25">
      <c r="J204" s="400" t="s">
        <v>336</v>
      </c>
      <c r="K204" s="404" t="s">
        <v>674</v>
      </c>
      <c r="L204" s="402" t="s">
        <v>675</v>
      </c>
      <c r="M204" s="402">
        <v>422225.17</v>
      </c>
      <c r="N204" s="402">
        <v>9000</v>
      </c>
      <c r="O204" s="402">
        <v>78582.66</v>
      </c>
      <c r="P204" s="402">
        <v>64457.86</v>
      </c>
      <c r="Q204" s="402">
        <v>67060.759999999995</v>
      </c>
      <c r="R204" s="402">
        <v>64657.65</v>
      </c>
      <c r="S204" s="402">
        <v>51502.71</v>
      </c>
      <c r="T204" s="402">
        <v>43759</v>
      </c>
      <c r="U204" s="402">
        <v>48454.53</v>
      </c>
      <c r="V204" s="402">
        <v>750</v>
      </c>
      <c r="W204" s="402">
        <v>750</v>
      </c>
      <c r="X204" s="402">
        <v>750</v>
      </c>
      <c r="Y204" s="402">
        <v>750</v>
      </c>
      <c r="Z204" s="402">
        <v>750</v>
      </c>
      <c r="AA204" s="402">
        <v>422225.17</v>
      </c>
    </row>
    <row r="205" spans="10:27" ht="15" customHeight="1" x14ac:dyDescent="0.2">
      <c r="J205" s="392" t="s">
        <v>336</v>
      </c>
      <c r="K205" s="403" t="s">
        <v>676</v>
      </c>
      <c r="L205" s="392" t="s">
        <v>677</v>
      </c>
      <c r="M205" s="393">
        <v>1194238.3999999999</v>
      </c>
      <c r="N205" s="393">
        <v>0</v>
      </c>
      <c r="O205" s="393">
        <v>0</v>
      </c>
      <c r="P205" s="393">
        <v>0</v>
      </c>
      <c r="Q205" s="393">
        <v>0</v>
      </c>
      <c r="R205" s="393">
        <v>0</v>
      </c>
      <c r="S205" s="393">
        <v>53.4</v>
      </c>
      <c r="T205" s="393">
        <v>0</v>
      </c>
      <c r="U205" s="393">
        <v>0</v>
      </c>
      <c r="V205" s="393">
        <v>0</v>
      </c>
      <c r="W205" s="393">
        <v>293652</v>
      </c>
      <c r="X205" s="393">
        <v>303440</v>
      </c>
      <c r="Y205" s="393">
        <v>293652</v>
      </c>
      <c r="Z205" s="393">
        <v>303441</v>
      </c>
      <c r="AA205" s="393">
        <v>1194238.3999999999</v>
      </c>
    </row>
    <row r="206" spans="10:27" ht="15" customHeight="1" x14ac:dyDescent="0.25">
      <c r="J206" s="400" t="s">
        <v>336</v>
      </c>
      <c r="K206" s="404" t="s">
        <v>678</v>
      </c>
      <c r="L206" s="402" t="s">
        <v>679</v>
      </c>
      <c r="M206" s="402">
        <v>53.4</v>
      </c>
      <c r="N206" s="402">
        <v>0</v>
      </c>
      <c r="O206" s="402">
        <v>0</v>
      </c>
      <c r="P206" s="402">
        <v>0</v>
      </c>
      <c r="Q206" s="402">
        <v>0</v>
      </c>
      <c r="R206" s="402">
        <v>0</v>
      </c>
      <c r="S206" s="402">
        <v>53.4</v>
      </c>
      <c r="T206" s="402">
        <v>0</v>
      </c>
      <c r="U206" s="402">
        <v>0</v>
      </c>
      <c r="V206" s="402">
        <v>0</v>
      </c>
      <c r="W206" s="402">
        <v>0</v>
      </c>
      <c r="X206" s="402">
        <v>0</v>
      </c>
      <c r="Y206" s="402">
        <v>0</v>
      </c>
      <c r="Z206" s="402">
        <v>0</v>
      </c>
      <c r="AA206" s="402">
        <v>53.4</v>
      </c>
    </row>
    <row r="207" spans="10:27" ht="15" customHeight="1" x14ac:dyDescent="0.25">
      <c r="J207" s="400" t="s">
        <v>336</v>
      </c>
      <c r="K207" s="404" t="s">
        <v>680</v>
      </c>
      <c r="L207" s="402" t="s">
        <v>681</v>
      </c>
      <c r="M207" s="402">
        <v>1194185</v>
      </c>
      <c r="N207" s="402">
        <v>0</v>
      </c>
      <c r="O207" s="402">
        <v>0</v>
      </c>
      <c r="P207" s="402">
        <v>0</v>
      </c>
      <c r="Q207" s="402">
        <v>0</v>
      </c>
      <c r="R207" s="402">
        <v>0</v>
      </c>
      <c r="S207" s="402">
        <v>0</v>
      </c>
      <c r="T207" s="402">
        <v>0</v>
      </c>
      <c r="U207" s="402">
        <v>0</v>
      </c>
      <c r="V207" s="402">
        <v>0</v>
      </c>
      <c r="W207" s="402">
        <v>293652</v>
      </c>
      <c r="X207" s="402">
        <v>303440</v>
      </c>
      <c r="Y207" s="402">
        <v>293652</v>
      </c>
      <c r="Z207" s="402">
        <v>303441</v>
      </c>
      <c r="AA207" s="402">
        <v>1194185</v>
      </c>
    </row>
    <row r="208" spans="10:27" ht="15" customHeight="1" x14ac:dyDescent="0.2">
      <c r="J208" s="392" t="s">
        <v>336</v>
      </c>
      <c r="K208" s="396" t="s">
        <v>682</v>
      </c>
      <c r="L208" s="392" t="s">
        <v>683</v>
      </c>
      <c r="M208" s="393">
        <v>1952112378.5582659</v>
      </c>
      <c r="N208" s="393">
        <v>2429430784.6130219</v>
      </c>
      <c r="O208" s="393">
        <v>147660268.22</v>
      </c>
      <c r="P208" s="393">
        <v>130978731.06999999</v>
      </c>
      <c r="Q208" s="393">
        <v>141131886.11000001</v>
      </c>
      <c r="R208" s="393">
        <v>154893089.12</v>
      </c>
      <c r="S208" s="393">
        <v>161317092.28999999</v>
      </c>
      <c r="T208" s="393">
        <v>168935998.75</v>
      </c>
      <c r="U208" s="393">
        <v>182823638</v>
      </c>
      <c r="V208" s="393">
        <v>180948420.05618289</v>
      </c>
      <c r="W208" s="393">
        <v>184903636.91109079</v>
      </c>
      <c r="X208" s="393">
        <v>171870279.876423</v>
      </c>
      <c r="Y208" s="393">
        <v>160947564.5230366</v>
      </c>
      <c r="Z208" s="393">
        <v>165701773.63153279</v>
      </c>
      <c r="AA208" s="393">
        <v>1952112378.5582659</v>
      </c>
    </row>
    <row r="209" spans="10:27" ht="15" customHeight="1" x14ac:dyDescent="0.2">
      <c r="J209" s="392" t="s">
        <v>336</v>
      </c>
      <c r="K209" s="397" t="s">
        <v>684</v>
      </c>
      <c r="L209" s="392" t="s">
        <v>685</v>
      </c>
      <c r="M209" s="393">
        <v>1293238830.3983469</v>
      </c>
      <c r="N209" s="393">
        <v>1751197243.8064308</v>
      </c>
      <c r="O209" s="393">
        <v>95226810.310000002</v>
      </c>
      <c r="P209" s="393">
        <v>79485812.730000004</v>
      </c>
      <c r="Q209" s="393">
        <v>89049717.420000002</v>
      </c>
      <c r="R209" s="393">
        <v>101000898.2</v>
      </c>
      <c r="S209" s="393">
        <v>106888003.95</v>
      </c>
      <c r="T209" s="393">
        <v>113358409.84999999</v>
      </c>
      <c r="U209" s="393">
        <v>125216105.45</v>
      </c>
      <c r="V209" s="393">
        <v>124029878.64776701</v>
      </c>
      <c r="W209" s="393">
        <v>127299340.0300228</v>
      </c>
      <c r="X209" s="393">
        <v>115121710.67461661</v>
      </c>
      <c r="Y209" s="393">
        <v>105879757.9140193</v>
      </c>
      <c r="Z209" s="393">
        <v>110682385.2219211</v>
      </c>
      <c r="AA209" s="393">
        <v>1293238830.3983469</v>
      </c>
    </row>
    <row r="210" spans="10:27" ht="15" customHeight="1" x14ac:dyDescent="0.2">
      <c r="J210" s="392" t="s">
        <v>336</v>
      </c>
      <c r="K210" s="398" t="s">
        <v>686</v>
      </c>
      <c r="L210" s="392" t="s">
        <v>687</v>
      </c>
      <c r="M210" s="393">
        <v>607549886.20666647</v>
      </c>
      <c r="N210" s="393">
        <v>1269833370.6921284</v>
      </c>
      <c r="O210" s="393">
        <v>56034903.359999999</v>
      </c>
      <c r="P210" s="393">
        <v>39056004.859999999</v>
      </c>
      <c r="Q210" s="393">
        <v>41489705.859999999</v>
      </c>
      <c r="R210" s="393">
        <v>41696046.829999998</v>
      </c>
      <c r="S210" s="393">
        <v>47558831.880000003</v>
      </c>
      <c r="T210" s="393">
        <v>49933472.840000004</v>
      </c>
      <c r="U210" s="393">
        <v>63724062.359999999</v>
      </c>
      <c r="V210" s="393">
        <v>65766414.443333298</v>
      </c>
      <c r="W210" s="393">
        <v>54430484.443333298</v>
      </c>
      <c r="X210" s="393">
        <v>48754666.443333298</v>
      </c>
      <c r="Y210" s="393">
        <v>44368393.443333298</v>
      </c>
      <c r="Z210" s="393">
        <v>54736899.443333298</v>
      </c>
      <c r="AA210" s="393">
        <v>607549886.20666647</v>
      </c>
    </row>
    <row r="211" spans="10:27" ht="15" customHeight="1" x14ac:dyDescent="0.25">
      <c r="J211" s="400" t="s">
        <v>336</v>
      </c>
      <c r="K211" s="407" t="s">
        <v>688</v>
      </c>
      <c r="L211" s="402" t="s">
        <v>689</v>
      </c>
      <c r="M211" s="402">
        <v>64989252.990000002</v>
      </c>
      <c r="N211" s="402">
        <v>390000000</v>
      </c>
      <c r="O211" s="402">
        <v>0</v>
      </c>
      <c r="P211" s="402">
        <v>0</v>
      </c>
      <c r="Q211" s="402">
        <v>0</v>
      </c>
      <c r="R211" s="402">
        <v>7221028.1100000003</v>
      </c>
      <c r="S211" s="402">
        <v>7221028.1100000003</v>
      </c>
      <c r="T211" s="402">
        <v>7221028.1100000003</v>
      </c>
      <c r="U211" s="402">
        <v>7221028.1100000003</v>
      </c>
      <c r="V211" s="402">
        <v>7221028.1100000003</v>
      </c>
      <c r="W211" s="402">
        <v>7221028.1100000003</v>
      </c>
      <c r="X211" s="402">
        <v>7221028.1100000003</v>
      </c>
      <c r="Y211" s="402">
        <v>7221028.1100000003</v>
      </c>
      <c r="Z211" s="402">
        <v>7221028.1100000003</v>
      </c>
      <c r="AA211" s="402">
        <v>64989252.990000002</v>
      </c>
    </row>
    <row r="212" spans="10:27" ht="15" customHeight="1" x14ac:dyDescent="0.25">
      <c r="J212" s="400" t="s">
        <v>336</v>
      </c>
      <c r="K212" s="407" t="s">
        <v>690</v>
      </c>
      <c r="L212" s="402" t="s">
        <v>691</v>
      </c>
      <c r="M212" s="402">
        <v>0</v>
      </c>
      <c r="N212" s="402">
        <v>-72768776.4479976</v>
      </c>
      <c r="O212" s="402">
        <v>0</v>
      </c>
      <c r="P212" s="402">
        <v>0</v>
      </c>
      <c r="Q212" s="402">
        <v>0</v>
      </c>
      <c r="R212" s="402">
        <v>0</v>
      </c>
      <c r="S212" s="402">
        <v>0</v>
      </c>
      <c r="T212" s="402">
        <v>0</v>
      </c>
      <c r="U212" s="402">
        <v>0</v>
      </c>
      <c r="V212" s="402">
        <v>0</v>
      </c>
      <c r="W212" s="402">
        <v>0</v>
      </c>
      <c r="X212" s="402">
        <v>0</v>
      </c>
      <c r="Y212" s="402">
        <v>0</v>
      </c>
      <c r="Z212" s="402">
        <v>0</v>
      </c>
      <c r="AA212" s="402">
        <v>0</v>
      </c>
    </row>
    <row r="213" spans="10:27" ht="15" customHeight="1" x14ac:dyDescent="0.25">
      <c r="J213" s="400" t="s">
        <v>336</v>
      </c>
      <c r="K213" s="407" t="s">
        <v>692</v>
      </c>
      <c r="L213" s="402" t="s">
        <v>693</v>
      </c>
      <c r="M213" s="402">
        <v>-5488980</v>
      </c>
      <c r="N213" s="402">
        <v>-1052393.8598740001</v>
      </c>
      <c r="O213" s="402">
        <v>-1794564</v>
      </c>
      <c r="P213" s="402">
        <v>-1735280</v>
      </c>
      <c r="Q213" s="402">
        <v>-176305</v>
      </c>
      <c r="R213" s="402">
        <v>-1433187</v>
      </c>
      <c r="S213" s="402">
        <v>-238942</v>
      </c>
      <c r="T213" s="402">
        <v>-110904</v>
      </c>
      <c r="U213" s="402">
        <v>202</v>
      </c>
      <c r="V213" s="402">
        <v>0</v>
      </c>
      <c r="W213" s="402">
        <v>0</v>
      </c>
      <c r="X213" s="402">
        <v>0</v>
      </c>
      <c r="Y213" s="402">
        <v>0</v>
      </c>
      <c r="Z213" s="402">
        <v>0</v>
      </c>
      <c r="AA213" s="402">
        <v>-5488980</v>
      </c>
    </row>
    <row r="214" spans="10:27" ht="15" customHeight="1" x14ac:dyDescent="0.25">
      <c r="J214" s="400" t="s">
        <v>336</v>
      </c>
      <c r="K214" s="407" t="s">
        <v>694</v>
      </c>
      <c r="L214" s="402" t="s">
        <v>695</v>
      </c>
      <c r="M214" s="402">
        <v>12864023.65</v>
      </c>
      <c r="N214" s="402">
        <v>40946546</v>
      </c>
      <c r="O214" s="402">
        <v>1506126.7</v>
      </c>
      <c r="P214" s="402">
        <v>1597333.3</v>
      </c>
      <c r="Q214" s="402">
        <v>6841588.2699999996</v>
      </c>
      <c r="R214" s="402">
        <v>1539012.42</v>
      </c>
      <c r="S214" s="402">
        <v>-9795.4500000000007</v>
      </c>
      <c r="T214" s="402">
        <v>92061.63</v>
      </c>
      <c r="U214" s="402">
        <v>1297696.78</v>
      </c>
      <c r="V214" s="402">
        <v>0</v>
      </c>
      <c r="W214" s="402">
        <v>0</v>
      </c>
      <c r="X214" s="402">
        <v>0</v>
      </c>
      <c r="Y214" s="402">
        <v>0</v>
      </c>
      <c r="Z214" s="402">
        <v>0</v>
      </c>
      <c r="AA214" s="402">
        <v>12864023.65</v>
      </c>
    </row>
    <row r="215" spans="10:27" ht="15" customHeight="1" x14ac:dyDescent="0.25">
      <c r="J215" s="400" t="s">
        <v>336</v>
      </c>
      <c r="K215" s="407" t="s">
        <v>696</v>
      </c>
      <c r="L215" s="402" t="s">
        <v>697</v>
      </c>
      <c r="M215" s="402">
        <v>302809478.24000001</v>
      </c>
      <c r="N215" s="402">
        <v>911573008</v>
      </c>
      <c r="O215" s="402">
        <v>56269554.159999996</v>
      </c>
      <c r="P215" s="402">
        <v>39163219.649999999</v>
      </c>
      <c r="Q215" s="402">
        <v>34754014.75</v>
      </c>
      <c r="R215" s="402">
        <v>34283579.530000001</v>
      </c>
      <c r="S215" s="402">
        <v>40526758.460000001</v>
      </c>
      <c r="T215" s="402">
        <v>42664227.950000003</v>
      </c>
      <c r="U215" s="402">
        <v>55148123.740000002</v>
      </c>
      <c r="V215" s="402">
        <v>0</v>
      </c>
      <c r="W215" s="402">
        <v>0</v>
      </c>
      <c r="X215" s="402">
        <v>0</v>
      </c>
      <c r="Y215" s="402">
        <v>0</v>
      </c>
      <c r="Z215" s="402">
        <v>0</v>
      </c>
      <c r="AA215" s="402">
        <v>302809478.24000001</v>
      </c>
    </row>
    <row r="216" spans="10:27" ht="15" customHeight="1" x14ac:dyDescent="0.25">
      <c r="J216" s="400" t="s">
        <v>336</v>
      </c>
      <c r="K216" s="407" t="s">
        <v>698</v>
      </c>
      <c r="L216" s="402" t="s">
        <v>699</v>
      </c>
      <c r="M216" s="402">
        <v>424405.26</v>
      </c>
      <c r="N216" s="402">
        <v>1135017</v>
      </c>
      <c r="O216" s="402">
        <v>53790.9</v>
      </c>
      <c r="P216" s="402">
        <v>30731.91</v>
      </c>
      <c r="Q216" s="402">
        <v>70407.839999999997</v>
      </c>
      <c r="R216" s="402">
        <v>85619.6</v>
      </c>
      <c r="S216" s="402">
        <v>59782.76</v>
      </c>
      <c r="T216" s="402">
        <v>67059.149999999994</v>
      </c>
      <c r="U216" s="402">
        <v>57013.1</v>
      </c>
      <c r="V216" s="402">
        <v>0</v>
      </c>
      <c r="W216" s="402">
        <v>0</v>
      </c>
      <c r="X216" s="402">
        <v>0</v>
      </c>
      <c r="Y216" s="402">
        <v>0</v>
      </c>
      <c r="Z216" s="402">
        <v>0</v>
      </c>
      <c r="AA216" s="402">
        <v>424405.26</v>
      </c>
    </row>
    <row r="217" spans="10:27" ht="15" customHeight="1" x14ac:dyDescent="0.25">
      <c r="J217" s="400" t="s">
        <v>336</v>
      </c>
      <c r="K217" s="407" t="s">
        <v>700</v>
      </c>
      <c r="L217" s="402" t="s">
        <v>701</v>
      </c>
      <c r="M217" s="402">
        <v>-11.6</v>
      </c>
      <c r="N217" s="402">
        <v>-30</v>
      </c>
      <c r="O217" s="402">
        <v>-4.4000000000000004</v>
      </c>
      <c r="P217" s="402">
        <v>0</v>
      </c>
      <c r="Q217" s="402">
        <v>0</v>
      </c>
      <c r="R217" s="402">
        <v>-5.83</v>
      </c>
      <c r="S217" s="402">
        <v>0</v>
      </c>
      <c r="T217" s="402">
        <v>0</v>
      </c>
      <c r="U217" s="402">
        <v>-1.37</v>
      </c>
      <c r="V217" s="402">
        <v>0</v>
      </c>
      <c r="W217" s="402">
        <v>0</v>
      </c>
      <c r="X217" s="402">
        <v>0</v>
      </c>
      <c r="Y217" s="402">
        <v>0</v>
      </c>
      <c r="Z217" s="402">
        <v>0</v>
      </c>
      <c r="AA217" s="402">
        <v>-11.6</v>
      </c>
    </row>
    <row r="218" spans="10:27" ht="15" customHeight="1" x14ac:dyDescent="0.25">
      <c r="J218" s="400" t="s">
        <v>336</v>
      </c>
      <c r="K218" s="407" t="s">
        <v>702</v>
      </c>
      <c r="L218" s="402" t="s">
        <v>703</v>
      </c>
      <c r="M218" s="402">
        <v>12677710</v>
      </c>
      <c r="N218" s="402">
        <v>0</v>
      </c>
      <c r="O218" s="402">
        <v>0</v>
      </c>
      <c r="P218" s="402">
        <v>0</v>
      </c>
      <c r="Q218" s="402">
        <v>0</v>
      </c>
      <c r="R218" s="402">
        <v>0</v>
      </c>
      <c r="S218" s="402">
        <v>0</v>
      </c>
      <c r="T218" s="402">
        <v>0</v>
      </c>
      <c r="U218" s="402">
        <v>0</v>
      </c>
      <c r="V218" s="402">
        <v>6645964</v>
      </c>
      <c r="W218" s="402">
        <v>5705850</v>
      </c>
      <c r="X218" s="402">
        <v>101610</v>
      </c>
      <c r="Y218" s="402">
        <v>107887</v>
      </c>
      <c r="Z218" s="402">
        <v>116399</v>
      </c>
      <c r="AA218" s="402">
        <v>12677710</v>
      </c>
    </row>
    <row r="219" spans="10:27" ht="15" customHeight="1" x14ac:dyDescent="0.25">
      <c r="J219" s="400" t="s">
        <v>336</v>
      </c>
      <c r="K219" s="407" t="s">
        <v>704</v>
      </c>
      <c r="L219" s="402" t="s">
        <v>705</v>
      </c>
      <c r="M219" s="402">
        <v>218197667</v>
      </c>
      <c r="N219" s="402">
        <v>0</v>
      </c>
      <c r="O219" s="402">
        <v>0</v>
      </c>
      <c r="P219" s="402">
        <v>0</v>
      </c>
      <c r="Q219" s="402">
        <v>0</v>
      </c>
      <c r="R219" s="402">
        <v>0</v>
      </c>
      <c r="S219" s="402">
        <v>0</v>
      </c>
      <c r="T219" s="402">
        <v>0</v>
      </c>
      <c r="U219" s="402">
        <v>0</v>
      </c>
      <c r="V219" s="402">
        <v>51668334</v>
      </c>
      <c r="W219" s="402">
        <v>41288938</v>
      </c>
      <c r="X219" s="402">
        <v>41220678</v>
      </c>
      <c r="Y219" s="402">
        <v>36829319</v>
      </c>
      <c r="Z219" s="402">
        <v>47190398</v>
      </c>
      <c r="AA219" s="402">
        <v>218197667</v>
      </c>
    </row>
    <row r="220" spans="10:27" ht="15" customHeight="1" x14ac:dyDescent="0.25">
      <c r="J220" s="400" t="s">
        <v>336</v>
      </c>
      <c r="K220" s="407" t="s">
        <v>706</v>
      </c>
      <c r="L220" s="402" t="s">
        <v>707</v>
      </c>
      <c r="M220" s="402">
        <v>1049768.6666665</v>
      </c>
      <c r="N220" s="402">
        <v>0</v>
      </c>
      <c r="O220" s="402">
        <v>0</v>
      </c>
      <c r="P220" s="402">
        <v>0</v>
      </c>
      <c r="Q220" s="402">
        <v>0</v>
      </c>
      <c r="R220" s="402">
        <v>0</v>
      </c>
      <c r="S220" s="402">
        <v>0</v>
      </c>
      <c r="T220" s="402">
        <v>0</v>
      </c>
      <c r="U220" s="402">
        <v>0</v>
      </c>
      <c r="V220" s="402">
        <v>212288.33333329999</v>
      </c>
      <c r="W220" s="402">
        <v>211098.33333329999</v>
      </c>
      <c r="X220" s="402">
        <v>209934.33333329999</v>
      </c>
      <c r="Y220" s="402">
        <v>208789.33333329999</v>
      </c>
      <c r="Z220" s="402">
        <v>207658.33333329999</v>
      </c>
      <c r="AA220" s="402">
        <v>1049768.6666665</v>
      </c>
    </row>
    <row r="221" spans="10:27" ht="15" customHeight="1" x14ac:dyDescent="0.25">
      <c r="J221" s="400" t="s">
        <v>336</v>
      </c>
      <c r="K221" s="407" t="s">
        <v>708</v>
      </c>
      <c r="L221" s="402" t="s">
        <v>709</v>
      </c>
      <c r="M221" s="402">
        <v>26572</v>
      </c>
      <c r="N221" s="402">
        <v>0</v>
      </c>
      <c r="O221" s="402">
        <v>0</v>
      </c>
      <c r="P221" s="402">
        <v>0</v>
      </c>
      <c r="Q221" s="402">
        <v>0</v>
      </c>
      <c r="R221" s="402">
        <v>0</v>
      </c>
      <c r="S221" s="402">
        <v>0</v>
      </c>
      <c r="T221" s="402">
        <v>0</v>
      </c>
      <c r="U221" s="402">
        <v>0</v>
      </c>
      <c r="V221" s="402">
        <v>18800</v>
      </c>
      <c r="W221" s="402">
        <v>3570</v>
      </c>
      <c r="X221" s="402">
        <v>1416</v>
      </c>
      <c r="Y221" s="402">
        <v>1370</v>
      </c>
      <c r="Z221" s="402">
        <v>1416</v>
      </c>
      <c r="AA221" s="402">
        <v>26572</v>
      </c>
    </row>
    <row r="222" spans="10:27" ht="15" customHeight="1" x14ac:dyDescent="0.2">
      <c r="J222" s="392" t="s">
        <v>336</v>
      </c>
      <c r="K222" s="398" t="s">
        <v>710</v>
      </c>
      <c r="L222" s="392" t="s">
        <v>711</v>
      </c>
      <c r="M222" s="393">
        <v>81676156.207182005</v>
      </c>
      <c r="N222" s="393">
        <v>6835884.7157095</v>
      </c>
      <c r="O222" s="393">
        <v>2489910.41</v>
      </c>
      <c r="P222" s="393">
        <v>2765893.8</v>
      </c>
      <c r="Q222" s="393">
        <v>4009525.67</v>
      </c>
      <c r="R222" s="393">
        <v>11199479.76</v>
      </c>
      <c r="S222" s="393">
        <v>8733450.5099999998</v>
      </c>
      <c r="T222" s="393">
        <v>4928107.9000000004</v>
      </c>
      <c r="U222" s="393">
        <v>7064061.2000000002</v>
      </c>
      <c r="V222" s="393">
        <v>2360951.7270609001</v>
      </c>
      <c r="W222" s="393">
        <v>15094218.1393629</v>
      </c>
      <c r="X222" s="393">
        <v>12374530.986361301</v>
      </c>
      <c r="Y222" s="393">
        <v>10115857.093063699</v>
      </c>
      <c r="Z222" s="393">
        <v>540169.01133320003</v>
      </c>
      <c r="AA222" s="393">
        <v>81676156.207182005</v>
      </c>
    </row>
    <row r="223" spans="10:27" ht="15" customHeight="1" x14ac:dyDescent="0.25">
      <c r="J223" s="400" t="s">
        <v>336</v>
      </c>
      <c r="K223" s="407" t="s">
        <v>712</v>
      </c>
      <c r="L223" s="402" t="s">
        <v>711</v>
      </c>
      <c r="M223" s="402">
        <v>41190429.25</v>
      </c>
      <c r="N223" s="402">
        <v>6835884.7157095</v>
      </c>
      <c r="O223" s="402">
        <v>2489910.41</v>
      </c>
      <c r="P223" s="402">
        <v>2765893.8</v>
      </c>
      <c r="Q223" s="402">
        <v>4009525.67</v>
      </c>
      <c r="R223" s="402">
        <v>11199479.76</v>
      </c>
      <c r="S223" s="402">
        <v>8733450.5099999998</v>
      </c>
      <c r="T223" s="402">
        <v>4928107.9000000004</v>
      </c>
      <c r="U223" s="402">
        <v>7064061.2000000002</v>
      </c>
      <c r="V223" s="402">
        <v>0</v>
      </c>
      <c r="W223" s="402">
        <v>0</v>
      </c>
      <c r="X223" s="402">
        <v>0</v>
      </c>
      <c r="Y223" s="402">
        <v>0</v>
      </c>
      <c r="Z223" s="402">
        <v>0</v>
      </c>
      <c r="AA223" s="402">
        <v>41190429.25</v>
      </c>
    </row>
    <row r="224" spans="10:27" ht="15" customHeight="1" x14ac:dyDescent="0.25">
      <c r="J224" s="400" t="s">
        <v>336</v>
      </c>
      <c r="K224" s="407" t="s">
        <v>713</v>
      </c>
      <c r="L224" s="402" t="s">
        <v>714</v>
      </c>
      <c r="M224" s="402">
        <v>40485726.957181998</v>
      </c>
      <c r="N224" s="402">
        <v>0</v>
      </c>
      <c r="O224" s="402">
        <v>0</v>
      </c>
      <c r="P224" s="402">
        <v>0</v>
      </c>
      <c r="Q224" s="402">
        <v>0</v>
      </c>
      <c r="R224" s="402">
        <v>0</v>
      </c>
      <c r="S224" s="402">
        <v>0</v>
      </c>
      <c r="T224" s="402">
        <v>0</v>
      </c>
      <c r="U224" s="402">
        <v>0</v>
      </c>
      <c r="V224" s="402">
        <v>2360951.7270609001</v>
      </c>
      <c r="W224" s="402">
        <v>15094218.1393629</v>
      </c>
      <c r="X224" s="402">
        <v>12374530.986361301</v>
      </c>
      <c r="Y224" s="402">
        <v>10115857.093063699</v>
      </c>
      <c r="Z224" s="402">
        <v>540169.01133320003</v>
      </c>
      <c r="AA224" s="402">
        <v>40485726.957181998</v>
      </c>
    </row>
    <row r="225" spans="10:27" ht="15" customHeight="1" x14ac:dyDescent="0.2">
      <c r="J225" s="392" t="s">
        <v>336</v>
      </c>
      <c r="K225" s="398" t="s">
        <v>715</v>
      </c>
      <c r="L225" s="392" t="s">
        <v>716</v>
      </c>
      <c r="M225" s="393">
        <v>604012787.98449826</v>
      </c>
      <c r="N225" s="393">
        <v>474527988.39859289</v>
      </c>
      <c r="O225" s="393">
        <v>36701996.539999999</v>
      </c>
      <c r="P225" s="393">
        <v>37663914.07</v>
      </c>
      <c r="Q225" s="393">
        <v>43550485.890000001</v>
      </c>
      <c r="R225" s="393">
        <v>48105371.609999999</v>
      </c>
      <c r="S225" s="393">
        <v>50595721.560000002</v>
      </c>
      <c r="T225" s="393">
        <v>58496829.109999999</v>
      </c>
      <c r="U225" s="393">
        <v>54427981.890000001</v>
      </c>
      <c r="V225" s="393">
        <v>55902512.477372803</v>
      </c>
      <c r="W225" s="393">
        <v>57774637.447326601</v>
      </c>
      <c r="X225" s="393">
        <v>53992513.244921997</v>
      </c>
      <c r="Y225" s="393">
        <v>51395507.377622299</v>
      </c>
      <c r="Z225" s="393">
        <v>55405316.767254598</v>
      </c>
      <c r="AA225" s="393">
        <v>604012787.98449826</v>
      </c>
    </row>
    <row r="226" spans="10:27" ht="15" customHeight="1" x14ac:dyDescent="0.2">
      <c r="J226" s="392" t="s">
        <v>336</v>
      </c>
      <c r="K226" s="399" t="s">
        <v>717</v>
      </c>
      <c r="L226" s="392" t="s">
        <v>718</v>
      </c>
      <c r="M226" s="393">
        <v>48095698.168995</v>
      </c>
      <c r="N226" s="393">
        <v>23711837.568720002</v>
      </c>
      <c r="O226" s="393">
        <v>3424236.8</v>
      </c>
      <c r="P226" s="393">
        <v>3106564.58</v>
      </c>
      <c r="Q226" s="393">
        <v>3096664.84</v>
      </c>
      <c r="R226" s="393">
        <v>3931043.65</v>
      </c>
      <c r="S226" s="393">
        <v>4187138.74</v>
      </c>
      <c r="T226" s="393">
        <v>4606694.91</v>
      </c>
      <c r="U226" s="393">
        <v>4233961.5</v>
      </c>
      <c r="V226" s="393">
        <v>4801679.8859727997</v>
      </c>
      <c r="W226" s="393">
        <v>5100657.8859727997</v>
      </c>
      <c r="X226" s="393">
        <v>4560496.8859727997</v>
      </c>
      <c r="Y226" s="393">
        <v>2919161.8859728002</v>
      </c>
      <c r="Z226" s="393">
        <v>4127396.6051038001</v>
      </c>
      <c r="AA226" s="393">
        <v>48095698.168995</v>
      </c>
    </row>
    <row r="227" spans="10:27" ht="15" customHeight="1" x14ac:dyDescent="0.25">
      <c r="J227" s="400" t="s">
        <v>336</v>
      </c>
      <c r="K227" s="401" t="s">
        <v>719</v>
      </c>
      <c r="L227" s="402" t="s">
        <v>720</v>
      </c>
      <c r="M227" s="402">
        <v>3129.77</v>
      </c>
      <c r="N227" s="402">
        <v>0</v>
      </c>
      <c r="O227" s="402">
        <v>0</v>
      </c>
      <c r="P227" s="402">
        <v>0</v>
      </c>
      <c r="Q227" s="402">
        <v>1585.46</v>
      </c>
      <c r="R227" s="402">
        <v>0</v>
      </c>
      <c r="S227" s="402">
        <v>0</v>
      </c>
      <c r="T227" s="402">
        <v>1544.31</v>
      </c>
      <c r="U227" s="402">
        <v>0</v>
      </c>
      <c r="V227" s="402">
        <v>0</v>
      </c>
      <c r="W227" s="402">
        <v>0</v>
      </c>
      <c r="X227" s="402">
        <v>0</v>
      </c>
      <c r="Y227" s="402">
        <v>0</v>
      </c>
      <c r="Z227" s="402">
        <v>0</v>
      </c>
      <c r="AA227" s="402">
        <v>3129.77</v>
      </c>
    </row>
    <row r="228" spans="10:27" ht="15" customHeight="1" x14ac:dyDescent="0.25">
      <c r="J228" s="400" t="s">
        <v>336</v>
      </c>
      <c r="K228" s="401" t="s">
        <v>721</v>
      </c>
      <c r="L228" s="402" t="s">
        <v>722</v>
      </c>
      <c r="M228" s="402">
        <v>23295514.699074998</v>
      </c>
      <c r="N228" s="402">
        <v>0</v>
      </c>
      <c r="O228" s="402">
        <v>825553.66</v>
      </c>
      <c r="P228" s="402">
        <v>1175380.44</v>
      </c>
      <c r="Q228" s="402">
        <v>1677879.24</v>
      </c>
      <c r="R228" s="402">
        <v>1518041.51</v>
      </c>
      <c r="S228" s="402">
        <v>1962684.6</v>
      </c>
      <c r="T228" s="402">
        <v>2006467.46</v>
      </c>
      <c r="U228" s="402">
        <v>1635278.36</v>
      </c>
      <c r="V228" s="402">
        <v>2202798.7459728001</v>
      </c>
      <c r="W228" s="402">
        <v>2501776.7459728001</v>
      </c>
      <c r="X228" s="402">
        <v>2202798.7459728001</v>
      </c>
      <c r="Y228" s="402">
        <v>2202798.7459728001</v>
      </c>
      <c r="Z228" s="402">
        <v>3384056.4451838001</v>
      </c>
      <c r="AA228" s="402">
        <v>23295514.699074998</v>
      </c>
    </row>
    <row r="229" spans="10:27" ht="15" customHeight="1" x14ac:dyDescent="0.25">
      <c r="J229" s="400" t="s">
        <v>336</v>
      </c>
      <c r="K229" s="401" t="s">
        <v>723</v>
      </c>
      <c r="L229" s="402" t="s">
        <v>724</v>
      </c>
      <c r="M229" s="402">
        <v>-885649.07007999998</v>
      </c>
      <c r="N229" s="402">
        <v>-2086843.2012799999</v>
      </c>
      <c r="O229" s="402">
        <v>0</v>
      </c>
      <c r="P229" s="402">
        <v>-160631</v>
      </c>
      <c r="Q229" s="402">
        <v>-421785</v>
      </c>
      <c r="R229" s="402">
        <v>-1640</v>
      </c>
      <c r="S229" s="402">
        <v>-230328</v>
      </c>
      <c r="T229" s="402">
        <v>0</v>
      </c>
      <c r="U229" s="402">
        <v>0</v>
      </c>
      <c r="V229" s="402">
        <v>0</v>
      </c>
      <c r="W229" s="402">
        <v>0</v>
      </c>
      <c r="X229" s="402">
        <v>0</v>
      </c>
      <c r="Y229" s="402">
        <v>0</v>
      </c>
      <c r="Z229" s="402">
        <v>-71265.070080000005</v>
      </c>
      <c r="AA229" s="402">
        <v>-885649.07007999998</v>
      </c>
    </row>
    <row r="230" spans="10:27" ht="15" customHeight="1" x14ac:dyDescent="0.25">
      <c r="J230" s="400" t="s">
        <v>336</v>
      </c>
      <c r="K230" s="401" t="s">
        <v>725</v>
      </c>
      <c r="L230" s="402" t="s">
        <v>726</v>
      </c>
      <c r="M230" s="402">
        <v>0</v>
      </c>
      <c r="N230" s="402">
        <v>-1019111</v>
      </c>
      <c r="O230" s="402">
        <v>0</v>
      </c>
      <c r="P230" s="402">
        <v>0</v>
      </c>
      <c r="Q230" s="402">
        <v>0</v>
      </c>
      <c r="R230" s="402">
        <v>0</v>
      </c>
      <c r="S230" s="402">
        <v>0</v>
      </c>
      <c r="T230" s="402">
        <v>0</v>
      </c>
      <c r="U230" s="402">
        <v>0</v>
      </c>
      <c r="V230" s="402">
        <v>0</v>
      </c>
      <c r="W230" s="402">
        <v>0</v>
      </c>
      <c r="X230" s="402">
        <v>0</v>
      </c>
      <c r="Y230" s="402">
        <v>0</v>
      </c>
      <c r="Z230" s="402">
        <v>0</v>
      </c>
      <c r="AA230" s="402">
        <v>0</v>
      </c>
    </row>
    <row r="231" spans="10:27" ht="15" customHeight="1" x14ac:dyDescent="0.25">
      <c r="J231" s="400" t="s">
        <v>336</v>
      </c>
      <c r="K231" s="401" t="s">
        <v>727</v>
      </c>
      <c r="L231" s="402" t="s">
        <v>728</v>
      </c>
      <c r="M231" s="402">
        <v>-5502485</v>
      </c>
      <c r="N231" s="402">
        <v>-4368782</v>
      </c>
      <c r="O231" s="402">
        <v>0</v>
      </c>
      <c r="P231" s="402">
        <v>-506868</v>
      </c>
      <c r="Q231" s="402">
        <v>-759698</v>
      </c>
      <c r="R231" s="402">
        <v>-184041</v>
      </c>
      <c r="S231" s="402">
        <v>-143901</v>
      </c>
      <c r="T231" s="402">
        <v>0</v>
      </c>
      <c r="U231" s="402">
        <v>0</v>
      </c>
      <c r="V231" s="402">
        <v>0</v>
      </c>
      <c r="W231" s="402">
        <v>0</v>
      </c>
      <c r="X231" s="402">
        <v>-241183</v>
      </c>
      <c r="Y231" s="402">
        <v>-1882518</v>
      </c>
      <c r="Z231" s="402">
        <v>-1784276</v>
      </c>
      <c r="AA231" s="402">
        <v>-5502485</v>
      </c>
    </row>
    <row r="232" spans="10:27" ht="15" customHeight="1" x14ac:dyDescent="0.25">
      <c r="J232" s="400" t="s">
        <v>336</v>
      </c>
      <c r="K232" s="401" t="s">
        <v>729</v>
      </c>
      <c r="L232" s="402" t="s">
        <v>730</v>
      </c>
      <c r="M232" s="402">
        <v>-1386</v>
      </c>
      <c r="N232" s="402">
        <v>0</v>
      </c>
      <c r="O232" s="402">
        <v>-198</v>
      </c>
      <c r="P232" s="402">
        <v>-198</v>
      </c>
      <c r="Q232" s="402">
        <v>-198</v>
      </c>
      <c r="R232" s="402">
        <v>-198</v>
      </c>
      <c r="S232" s="402">
        <v>-198</v>
      </c>
      <c r="T232" s="402">
        <v>-198</v>
      </c>
      <c r="U232" s="402">
        <v>-198</v>
      </c>
      <c r="V232" s="402">
        <v>0</v>
      </c>
      <c r="W232" s="402">
        <v>0</v>
      </c>
      <c r="X232" s="402">
        <v>0</v>
      </c>
      <c r="Y232" s="402">
        <v>0</v>
      </c>
      <c r="Z232" s="402">
        <v>0</v>
      </c>
      <c r="AA232" s="402">
        <v>-1386</v>
      </c>
    </row>
    <row r="233" spans="10:27" ht="15" customHeight="1" x14ac:dyDescent="0.25">
      <c r="J233" s="400" t="s">
        <v>336</v>
      </c>
      <c r="K233" s="401" t="s">
        <v>731</v>
      </c>
      <c r="L233" s="402" t="s">
        <v>732</v>
      </c>
      <c r="M233" s="402">
        <v>31186573.77</v>
      </c>
      <c r="N233" s="402">
        <v>31186573.77</v>
      </c>
      <c r="O233" s="402">
        <v>2598881.14</v>
      </c>
      <c r="P233" s="402">
        <v>2598881.14</v>
      </c>
      <c r="Q233" s="402">
        <v>2598881.14</v>
      </c>
      <c r="R233" s="402">
        <v>2598881.14</v>
      </c>
      <c r="S233" s="402">
        <v>2598881.14</v>
      </c>
      <c r="T233" s="402">
        <v>2598881.14</v>
      </c>
      <c r="U233" s="402">
        <v>2598881.14</v>
      </c>
      <c r="V233" s="402">
        <v>2598881.14</v>
      </c>
      <c r="W233" s="402">
        <v>2598881.14</v>
      </c>
      <c r="X233" s="402">
        <v>2598881.14</v>
      </c>
      <c r="Y233" s="402">
        <v>2598881.14</v>
      </c>
      <c r="Z233" s="402">
        <v>2598881.23</v>
      </c>
      <c r="AA233" s="402">
        <v>31186573.77</v>
      </c>
    </row>
    <row r="234" spans="10:27" ht="15" customHeight="1" x14ac:dyDescent="0.2">
      <c r="J234" s="392" t="s">
        <v>336</v>
      </c>
      <c r="K234" s="399" t="s">
        <v>733</v>
      </c>
      <c r="L234" s="392" t="s">
        <v>734</v>
      </c>
      <c r="M234" s="393">
        <v>181729608.57419369</v>
      </c>
      <c r="N234" s="393">
        <v>180681003.16738069</v>
      </c>
      <c r="O234" s="393">
        <v>15282238.970000001</v>
      </c>
      <c r="P234" s="393">
        <v>15135873.74</v>
      </c>
      <c r="Q234" s="393">
        <v>16243190.970000001</v>
      </c>
      <c r="R234" s="393">
        <v>14445682.58</v>
      </c>
      <c r="S234" s="393">
        <v>16390736.949999999</v>
      </c>
      <c r="T234" s="393">
        <v>16025566.050000001</v>
      </c>
      <c r="U234" s="393">
        <v>15647697.83</v>
      </c>
      <c r="V234" s="393">
        <v>15213575.4949094</v>
      </c>
      <c r="W234" s="393">
        <v>13983154.147715</v>
      </c>
      <c r="X234" s="393">
        <v>14669567.074959099</v>
      </c>
      <c r="Y234" s="393">
        <v>14636832.5495729</v>
      </c>
      <c r="Z234" s="393">
        <v>14055492.2170373</v>
      </c>
      <c r="AA234" s="393">
        <v>181729608.57419369</v>
      </c>
    </row>
    <row r="235" spans="10:27" ht="15" customHeight="1" x14ac:dyDescent="0.25">
      <c r="J235" s="400" t="s">
        <v>336</v>
      </c>
      <c r="K235" s="401" t="s">
        <v>735</v>
      </c>
      <c r="L235" s="402" t="s">
        <v>736</v>
      </c>
      <c r="M235" s="402">
        <v>74578060</v>
      </c>
      <c r="N235" s="402">
        <v>0</v>
      </c>
      <c r="O235" s="402">
        <v>9496018.9100000001</v>
      </c>
      <c r="P235" s="402">
        <v>10893536.039999999</v>
      </c>
      <c r="Q235" s="402">
        <v>11453414.43</v>
      </c>
      <c r="R235" s="402">
        <v>9725181.4100000001</v>
      </c>
      <c r="S235" s="402">
        <v>12591946.16</v>
      </c>
      <c r="T235" s="402">
        <v>10354395.27</v>
      </c>
      <c r="U235" s="402">
        <v>10063567.779999999</v>
      </c>
      <c r="V235" s="402">
        <v>0</v>
      </c>
      <c r="W235" s="402">
        <v>0</v>
      </c>
      <c r="X235" s="402">
        <v>0</v>
      </c>
      <c r="Y235" s="402">
        <v>0</v>
      </c>
      <c r="Z235" s="402">
        <v>0</v>
      </c>
      <c r="AA235" s="402">
        <v>74578060</v>
      </c>
    </row>
    <row r="236" spans="10:27" ht="15" customHeight="1" x14ac:dyDescent="0.25">
      <c r="J236" s="400" t="s">
        <v>336</v>
      </c>
      <c r="K236" s="401" t="s">
        <v>737</v>
      </c>
      <c r="L236" s="402" t="s">
        <v>738</v>
      </c>
      <c r="M236" s="402">
        <v>3517222.97</v>
      </c>
      <c r="N236" s="402">
        <v>0</v>
      </c>
      <c r="O236" s="402">
        <v>421948.83</v>
      </c>
      <c r="P236" s="402">
        <v>340973.16</v>
      </c>
      <c r="Q236" s="402">
        <v>544722.89</v>
      </c>
      <c r="R236" s="402">
        <v>506022.29</v>
      </c>
      <c r="S236" s="402">
        <v>649644.43000000005</v>
      </c>
      <c r="T236" s="402">
        <v>554168.59</v>
      </c>
      <c r="U236" s="402">
        <v>499742.78</v>
      </c>
      <c r="V236" s="402">
        <v>0</v>
      </c>
      <c r="W236" s="402">
        <v>0</v>
      </c>
      <c r="X236" s="402">
        <v>0</v>
      </c>
      <c r="Y236" s="402">
        <v>0</v>
      </c>
      <c r="Z236" s="402">
        <v>0</v>
      </c>
      <c r="AA236" s="402">
        <v>3517222.97</v>
      </c>
    </row>
    <row r="237" spans="10:27" ht="15" customHeight="1" x14ac:dyDescent="0.25">
      <c r="J237" s="400" t="s">
        <v>336</v>
      </c>
      <c r="K237" s="401" t="s">
        <v>739</v>
      </c>
      <c r="L237" s="402" t="s">
        <v>740</v>
      </c>
      <c r="M237" s="402">
        <v>11424295.15</v>
      </c>
      <c r="N237" s="402">
        <v>0</v>
      </c>
      <c r="O237" s="402">
        <v>2842538.89</v>
      </c>
      <c r="P237" s="402">
        <v>394984.04</v>
      </c>
      <c r="Q237" s="402">
        <v>1606951.42</v>
      </c>
      <c r="R237" s="402">
        <v>1635692.93</v>
      </c>
      <c r="S237" s="402">
        <v>576625.39</v>
      </c>
      <c r="T237" s="402">
        <v>2276408.63</v>
      </c>
      <c r="U237" s="402">
        <v>2091093.85</v>
      </c>
      <c r="V237" s="402">
        <v>0</v>
      </c>
      <c r="W237" s="402">
        <v>0</v>
      </c>
      <c r="X237" s="402">
        <v>0</v>
      </c>
      <c r="Y237" s="402">
        <v>0</v>
      </c>
      <c r="Z237" s="402">
        <v>0</v>
      </c>
      <c r="AA237" s="402">
        <v>11424295.15</v>
      </c>
    </row>
    <row r="238" spans="10:27" ht="15" customHeight="1" x14ac:dyDescent="0.25">
      <c r="J238" s="400" t="s">
        <v>336</v>
      </c>
      <c r="K238" s="401" t="s">
        <v>741</v>
      </c>
      <c r="L238" s="402" t="s">
        <v>742</v>
      </c>
      <c r="M238" s="402">
        <v>9031761.4100000001</v>
      </c>
      <c r="N238" s="402">
        <v>0</v>
      </c>
      <c r="O238" s="402">
        <v>1210123.6599999999</v>
      </c>
      <c r="P238" s="402">
        <v>1326326.49</v>
      </c>
      <c r="Q238" s="402">
        <v>1380826.58</v>
      </c>
      <c r="R238" s="402">
        <v>1166344.0900000001</v>
      </c>
      <c r="S238" s="402">
        <v>1460703.65</v>
      </c>
      <c r="T238" s="402">
        <v>1259430.3999999999</v>
      </c>
      <c r="U238" s="402">
        <v>1228006.54</v>
      </c>
      <c r="V238" s="402">
        <v>0</v>
      </c>
      <c r="W238" s="402">
        <v>0</v>
      </c>
      <c r="X238" s="402">
        <v>0</v>
      </c>
      <c r="Y238" s="402">
        <v>0</v>
      </c>
      <c r="Z238" s="402">
        <v>0</v>
      </c>
      <c r="AA238" s="402">
        <v>9031761.4100000001</v>
      </c>
    </row>
    <row r="239" spans="10:27" ht="15" customHeight="1" x14ac:dyDescent="0.25">
      <c r="J239" s="400" t="s">
        <v>336</v>
      </c>
      <c r="K239" s="401" t="s">
        <v>743</v>
      </c>
      <c r="L239" s="402" t="s">
        <v>744</v>
      </c>
      <c r="M239" s="402">
        <v>1393669.4</v>
      </c>
      <c r="N239" s="402">
        <v>0</v>
      </c>
      <c r="O239" s="402">
        <v>185814.7</v>
      </c>
      <c r="P239" s="402">
        <v>153590.35</v>
      </c>
      <c r="Q239" s="402">
        <v>215181.1</v>
      </c>
      <c r="R239" s="402">
        <v>233859.13</v>
      </c>
      <c r="S239" s="402">
        <v>192842.14</v>
      </c>
      <c r="T239" s="402">
        <v>216074.17</v>
      </c>
      <c r="U239" s="402">
        <v>196307.81</v>
      </c>
      <c r="V239" s="402">
        <v>0</v>
      </c>
      <c r="W239" s="402">
        <v>0</v>
      </c>
      <c r="X239" s="402">
        <v>0</v>
      </c>
      <c r="Y239" s="402">
        <v>0</v>
      </c>
      <c r="Z239" s="402">
        <v>0</v>
      </c>
      <c r="AA239" s="402">
        <v>1393669.4</v>
      </c>
    </row>
    <row r="240" spans="10:27" ht="15" customHeight="1" x14ac:dyDescent="0.25">
      <c r="J240" s="400" t="s">
        <v>336</v>
      </c>
      <c r="K240" s="401" t="s">
        <v>745</v>
      </c>
      <c r="L240" s="402" t="s">
        <v>746</v>
      </c>
      <c r="M240" s="402">
        <v>1347222.41</v>
      </c>
      <c r="N240" s="402">
        <v>0</v>
      </c>
      <c r="O240" s="402">
        <v>340254.29</v>
      </c>
      <c r="P240" s="402">
        <v>101425.66</v>
      </c>
      <c r="Q240" s="402">
        <v>181747.77</v>
      </c>
      <c r="R240" s="402">
        <v>206565.02</v>
      </c>
      <c r="S240" s="402">
        <v>66195.23</v>
      </c>
      <c r="T240" s="402">
        <v>258983.2</v>
      </c>
      <c r="U240" s="402">
        <v>192051.24</v>
      </c>
      <c r="V240" s="402">
        <v>0</v>
      </c>
      <c r="W240" s="402">
        <v>0</v>
      </c>
      <c r="X240" s="402">
        <v>0</v>
      </c>
      <c r="Y240" s="402">
        <v>0</v>
      </c>
      <c r="Z240" s="402">
        <v>0</v>
      </c>
      <c r="AA240" s="402">
        <v>1347222.41</v>
      </c>
    </row>
    <row r="241" spans="10:27" ht="15" customHeight="1" x14ac:dyDescent="0.25">
      <c r="J241" s="400" t="s">
        <v>336</v>
      </c>
      <c r="K241" s="401" t="s">
        <v>747</v>
      </c>
      <c r="L241" s="402" t="s">
        <v>748</v>
      </c>
      <c r="M241" s="402">
        <v>33613077.609999999</v>
      </c>
      <c r="N241" s="402">
        <v>0</v>
      </c>
      <c r="O241" s="402">
        <v>4321838.83</v>
      </c>
      <c r="P241" s="402">
        <v>4806235</v>
      </c>
      <c r="Q241" s="402">
        <v>4929387.68</v>
      </c>
      <c r="R241" s="402">
        <v>4475565.99</v>
      </c>
      <c r="S241" s="402">
        <v>5650126.1799999997</v>
      </c>
      <c r="T241" s="402">
        <v>4811483.6399999997</v>
      </c>
      <c r="U241" s="402">
        <v>4618440.29</v>
      </c>
      <c r="V241" s="402">
        <v>0</v>
      </c>
      <c r="W241" s="402">
        <v>0</v>
      </c>
      <c r="X241" s="402">
        <v>0</v>
      </c>
      <c r="Y241" s="402">
        <v>0</v>
      </c>
      <c r="Z241" s="402">
        <v>0</v>
      </c>
      <c r="AA241" s="402">
        <v>33613077.609999999</v>
      </c>
    </row>
    <row r="242" spans="10:27" ht="15" customHeight="1" x14ac:dyDescent="0.25">
      <c r="J242" s="400" t="s">
        <v>336</v>
      </c>
      <c r="K242" s="401" t="s">
        <v>749</v>
      </c>
      <c r="L242" s="402" t="s">
        <v>750</v>
      </c>
      <c r="M242" s="402">
        <v>10848366.710000001</v>
      </c>
      <c r="N242" s="402">
        <v>0</v>
      </c>
      <c r="O242" s="402">
        <v>1206751.99</v>
      </c>
      <c r="P242" s="402">
        <v>1393297.2</v>
      </c>
      <c r="Q242" s="402">
        <v>1492906.79</v>
      </c>
      <c r="R242" s="402">
        <v>1264292.6100000001</v>
      </c>
      <c r="S242" s="402">
        <v>1859362.72</v>
      </c>
      <c r="T242" s="402">
        <v>1848175.2</v>
      </c>
      <c r="U242" s="402">
        <v>1783580.2</v>
      </c>
      <c r="V242" s="402">
        <v>0</v>
      </c>
      <c r="W242" s="402">
        <v>0</v>
      </c>
      <c r="X242" s="402">
        <v>0</v>
      </c>
      <c r="Y242" s="402">
        <v>0</v>
      </c>
      <c r="Z242" s="402">
        <v>0</v>
      </c>
      <c r="AA242" s="402">
        <v>10848366.710000001</v>
      </c>
    </row>
    <row r="243" spans="10:27" ht="15" customHeight="1" x14ac:dyDescent="0.25">
      <c r="J243" s="400" t="s">
        <v>336</v>
      </c>
      <c r="K243" s="401" t="s">
        <v>751</v>
      </c>
      <c r="L243" s="402" t="s">
        <v>752</v>
      </c>
      <c r="M243" s="402">
        <v>6501640.6600000001</v>
      </c>
      <c r="N243" s="402">
        <v>0</v>
      </c>
      <c r="O243" s="402">
        <v>1473558.33</v>
      </c>
      <c r="P243" s="402">
        <v>426495.15</v>
      </c>
      <c r="Q243" s="402">
        <v>975956.09</v>
      </c>
      <c r="R243" s="402">
        <v>1036218.63</v>
      </c>
      <c r="S243" s="402">
        <v>415886.47</v>
      </c>
      <c r="T243" s="402">
        <v>1097001.3600000001</v>
      </c>
      <c r="U243" s="402">
        <v>1076524.6299999999</v>
      </c>
      <c r="V243" s="402">
        <v>0</v>
      </c>
      <c r="W243" s="402">
        <v>0</v>
      </c>
      <c r="X243" s="402">
        <v>0</v>
      </c>
      <c r="Y243" s="402">
        <v>0</v>
      </c>
      <c r="Z243" s="402">
        <v>0</v>
      </c>
      <c r="AA243" s="402">
        <v>6501640.6600000001</v>
      </c>
    </row>
    <row r="244" spans="10:27" ht="15" customHeight="1" x14ac:dyDescent="0.25">
      <c r="J244" s="400" t="s">
        <v>336</v>
      </c>
      <c r="K244" s="401" t="s">
        <v>753</v>
      </c>
      <c r="L244" s="402" t="s">
        <v>754</v>
      </c>
      <c r="M244" s="402">
        <v>339717.82</v>
      </c>
      <c r="N244" s="402">
        <v>0</v>
      </c>
      <c r="O244" s="402">
        <v>0</v>
      </c>
      <c r="P244" s="402">
        <v>693</v>
      </c>
      <c r="Q244" s="402">
        <v>0</v>
      </c>
      <c r="R244" s="402">
        <v>0</v>
      </c>
      <c r="S244" s="402">
        <v>0</v>
      </c>
      <c r="T244" s="402">
        <v>170000</v>
      </c>
      <c r="U244" s="402">
        <v>169024.82</v>
      </c>
      <c r="V244" s="402">
        <v>0</v>
      </c>
      <c r="W244" s="402">
        <v>0</v>
      </c>
      <c r="X244" s="402">
        <v>0</v>
      </c>
      <c r="Y244" s="402">
        <v>0</v>
      </c>
      <c r="Z244" s="402">
        <v>0</v>
      </c>
      <c r="AA244" s="402">
        <v>339717.82</v>
      </c>
    </row>
    <row r="245" spans="10:27" ht="15" customHeight="1" x14ac:dyDescent="0.25">
      <c r="J245" s="400" t="s">
        <v>336</v>
      </c>
      <c r="K245" s="401" t="s">
        <v>755</v>
      </c>
      <c r="L245" s="402" t="s">
        <v>756</v>
      </c>
      <c r="M245" s="402">
        <v>36431.94</v>
      </c>
      <c r="N245" s="402">
        <v>0</v>
      </c>
      <c r="O245" s="402">
        <v>4975.1000000000004</v>
      </c>
      <c r="P245" s="402">
        <v>42.64</v>
      </c>
      <c r="Q245" s="402">
        <v>10113.68</v>
      </c>
      <c r="R245" s="402">
        <v>4854.28</v>
      </c>
      <c r="S245" s="402">
        <v>3553.62</v>
      </c>
      <c r="T245" s="402">
        <v>5842.21</v>
      </c>
      <c r="U245" s="402">
        <v>7050.41</v>
      </c>
      <c r="V245" s="402">
        <v>0</v>
      </c>
      <c r="W245" s="402">
        <v>0</v>
      </c>
      <c r="X245" s="402">
        <v>0</v>
      </c>
      <c r="Y245" s="402">
        <v>0</v>
      </c>
      <c r="Z245" s="402">
        <v>0</v>
      </c>
      <c r="AA245" s="402">
        <v>36431.94</v>
      </c>
    </row>
    <row r="246" spans="10:27" ht="15" customHeight="1" x14ac:dyDescent="0.25">
      <c r="J246" s="400" t="s">
        <v>336</v>
      </c>
      <c r="K246" s="401" t="s">
        <v>757</v>
      </c>
      <c r="L246" s="402" t="s">
        <v>758</v>
      </c>
      <c r="M246" s="402">
        <v>907532.51</v>
      </c>
      <c r="N246" s="402">
        <v>0</v>
      </c>
      <c r="O246" s="402">
        <v>104203.63</v>
      </c>
      <c r="P246" s="402">
        <v>92947.07</v>
      </c>
      <c r="Q246" s="402">
        <v>185842.35</v>
      </c>
      <c r="R246" s="402">
        <v>108563.48</v>
      </c>
      <c r="S246" s="402">
        <v>146960.16</v>
      </c>
      <c r="T246" s="402">
        <v>133188.49</v>
      </c>
      <c r="U246" s="402">
        <v>135827.32999999999</v>
      </c>
      <c r="V246" s="402">
        <v>0</v>
      </c>
      <c r="W246" s="402">
        <v>0</v>
      </c>
      <c r="X246" s="402">
        <v>0</v>
      </c>
      <c r="Y246" s="402">
        <v>0</v>
      </c>
      <c r="Z246" s="402">
        <v>0</v>
      </c>
      <c r="AA246" s="402">
        <v>907532.51</v>
      </c>
    </row>
    <row r="247" spans="10:27" ht="15" customHeight="1" x14ac:dyDescent="0.25">
      <c r="J247" s="400" t="s">
        <v>336</v>
      </c>
      <c r="K247" s="401" t="s">
        <v>759</v>
      </c>
      <c r="L247" s="402" t="s">
        <v>760</v>
      </c>
      <c r="M247" s="402">
        <v>801908.62</v>
      </c>
      <c r="N247" s="402">
        <v>0</v>
      </c>
      <c r="O247" s="402">
        <v>544062.69999999995</v>
      </c>
      <c r="P247" s="402">
        <v>13029.29</v>
      </c>
      <c r="Q247" s="402">
        <v>5146.07</v>
      </c>
      <c r="R247" s="402">
        <v>82600.570000000007</v>
      </c>
      <c r="S247" s="402">
        <v>21726.53</v>
      </c>
      <c r="T247" s="402">
        <v>60146.64</v>
      </c>
      <c r="U247" s="402">
        <v>75196.820000000007</v>
      </c>
      <c r="V247" s="402">
        <v>0</v>
      </c>
      <c r="W247" s="402">
        <v>0</v>
      </c>
      <c r="X247" s="402">
        <v>0</v>
      </c>
      <c r="Y247" s="402">
        <v>0</v>
      </c>
      <c r="Z247" s="402">
        <v>0</v>
      </c>
      <c r="AA247" s="402">
        <v>801908.62</v>
      </c>
    </row>
    <row r="248" spans="10:27" ht="15" customHeight="1" x14ac:dyDescent="0.25">
      <c r="J248" s="400" t="s">
        <v>336</v>
      </c>
      <c r="K248" s="401" t="s">
        <v>761</v>
      </c>
      <c r="L248" s="402" t="s">
        <v>762</v>
      </c>
      <c r="M248" s="402">
        <v>47438.5</v>
      </c>
      <c r="N248" s="402">
        <v>-3858326.2905390998</v>
      </c>
      <c r="O248" s="402">
        <v>5880.02</v>
      </c>
      <c r="P248" s="402">
        <v>2319.98</v>
      </c>
      <c r="Q248" s="402">
        <v>-2665.63</v>
      </c>
      <c r="R248" s="402">
        <v>51664.78</v>
      </c>
      <c r="S248" s="402">
        <v>3815.51</v>
      </c>
      <c r="T248" s="402">
        <v>100704.1</v>
      </c>
      <c r="U248" s="402">
        <v>-116653.21</v>
      </c>
      <c r="V248" s="402">
        <v>2372.9499999999998</v>
      </c>
      <c r="W248" s="402">
        <v>0</v>
      </c>
      <c r="X248" s="402">
        <v>0</v>
      </c>
      <c r="Y248" s="402">
        <v>0</v>
      </c>
      <c r="Z248" s="402">
        <v>0</v>
      </c>
      <c r="AA248" s="402">
        <v>47438.5</v>
      </c>
    </row>
    <row r="249" spans="10:27" ht="15" customHeight="1" x14ac:dyDescent="0.25">
      <c r="J249" s="400" t="s">
        <v>336</v>
      </c>
      <c r="K249" s="401" t="s">
        <v>763</v>
      </c>
      <c r="L249" s="402" t="s">
        <v>764</v>
      </c>
      <c r="M249" s="402">
        <v>-2477992.91</v>
      </c>
      <c r="N249" s="402">
        <v>0</v>
      </c>
      <c r="O249" s="402">
        <v>-1303927.7</v>
      </c>
      <c r="P249" s="402">
        <v>609240.03</v>
      </c>
      <c r="Q249" s="402">
        <v>-393198.76</v>
      </c>
      <c r="R249" s="402">
        <v>-281686.64</v>
      </c>
      <c r="S249" s="402">
        <v>-395468.75</v>
      </c>
      <c r="T249" s="402">
        <v>-553051.4</v>
      </c>
      <c r="U249" s="402">
        <v>-159899.69</v>
      </c>
      <c r="V249" s="402">
        <v>0</v>
      </c>
      <c r="W249" s="402">
        <v>0</v>
      </c>
      <c r="X249" s="402">
        <v>0</v>
      </c>
      <c r="Y249" s="402">
        <v>0</v>
      </c>
      <c r="Z249" s="402">
        <v>0</v>
      </c>
      <c r="AA249" s="402">
        <v>-2477992.91</v>
      </c>
    </row>
    <row r="250" spans="10:27" ht="15" customHeight="1" x14ac:dyDescent="0.25">
      <c r="J250" s="400" t="s">
        <v>336</v>
      </c>
      <c r="K250" s="401" t="s">
        <v>765</v>
      </c>
      <c r="L250" s="402" t="s">
        <v>766</v>
      </c>
      <c r="M250" s="402">
        <v>-36844383.25</v>
      </c>
      <c r="N250" s="402">
        <v>0</v>
      </c>
      <c r="O250" s="402">
        <v>-4863966.55</v>
      </c>
      <c r="P250" s="402">
        <v>-4694900.0199999996</v>
      </c>
      <c r="Q250" s="402">
        <v>-5517520.8399999999</v>
      </c>
      <c r="R250" s="402">
        <v>-5019515.8</v>
      </c>
      <c r="S250" s="402">
        <v>-5827904.3600000003</v>
      </c>
      <c r="T250" s="402">
        <v>-5564390.71</v>
      </c>
      <c r="U250" s="402">
        <v>-5356184.97</v>
      </c>
      <c r="V250" s="402">
        <v>0</v>
      </c>
      <c r="W250" s="402">
        <v>0</v>
      </c>
      <c r="X250" s="402">
        <v>0</v>
      </c>
      <c r="Y250" s="402">
        <v>0</v>
      </c>
      <c r="Z250" s="402">
        <v>0</v>
      </c>
      <c r="AA250" s="402">
        <v>-36844383.25</v>
      </c>
    </row>
    <row r="251" spans="10:27" ht="15" customHeight="1" x14ac:dyDescent="0.25">
      <c r="J251" s="400" t="s">
        <v>336</v>
      </c>
      <c r="K251" s="401" t="s">
        <v>767</v>
      </c>
      <c r="L251" s="402" t="s">
        <v>768</v>
      </c>
      <c r="M251" s="402">
        <v>-5892609.5099999998</v>
      </c>
      <c r="N251" s="402">
        <v>0</v>
      </c>
      <c r="O251" s="402">
        <v>-707836.66</v>
      </c>
      <c r="P251" s="402">
        <v>-724361.34</v>
      </c>
      <c r="Q251" s="402">
        <v>-825620.65</v>
      </c>
      <c r="R251" s="402">
        <v>-750540.19</v>
      </c>
      <c r="S251" s="402">
        <v>-1025278.13</v>
      </c>
      <c r="T251" s="402">
        <v>-1002993.74</v>
      </c>
      <c r="U251" s="402">
        <v>-855978.8</v>
      </c>
      <c r="V251" s="402">
        <v>0</v>
      </c>
      <c r="W251" s="402">
        <v>0</v>
      </c>
      <c r="X251" s="402">
        <v>0</v>
      </c>
      <c r="Y251" s="402">
        <v>0</v>
      </c>
      <c r="Z251" s="402">
        <v>0</v>
      </c>
      <c r="AA251" s="402">
        <v>-5892609.5099999998</v>
      </c>
    </row>
    <row r="252" spans="10:27" ht="15" customHeight="1" x14ac:dyDescent="0.25">
      <c r="J252" s="400" t="s">
        <v>336</v>
      </c>
      <c r="K252" s="401" t="s">
        <v>769</v>
      </c>
      <c r="L252" s="402" t="s">
        <v>770</v>
      </c>
      <c r="M252" s="402">
        <v>66598547.611079</v>
      </c>
      <c r="N252" s="402">
        <v>489215.61780010001</v>
      </c>
      <c r="O252" s="402">
        <v>0</v>
      </c>
      <c r="P252" s="402">
        <v>0</v>
      </c>
      <c r="Q252" s="402">
        <v>0</v>
      </c>
      <c r="R252" s="402">
        <v>0</v>
      </c>
      <c r="S252" s="402">
        <v>0</v>
      </c>
      <c r="T252" s="402">
        <v>0</v>
      </c>
      <c r="U252" s="402">
        <v>0</v>
      </c>
      <c r="V252" s="402">
        <v>13879783.3045067</v>
      </c>
      <c r="W252" s="402">
        <v>12799739.934166901</v>
      </c>
      <c r="X252" s="402">
        <v>13469964.6818753</v>
      </c>
      <c r="Y252" s="402">
        <v>13504568.075372601</v>
      </c>
      <c r="Z252" s="402">
        <v>12944491.6151575</v>
      </c>
      <c r="AA252" s="402">
        <v>66598547.611079</v>
      </c>
    </row>
    <row r="253" spans="10:27" ht="15" customHeight="1" x14ac:dyDescent="0.25">
      <c r="J253" s="400" t="s">
        <v>336</v>
      </c>
      <c r="K253" s="401" t="s">
        <v>771</v>
      </c>
      <c r="L253" s="402" t="s">
        <v>772</v>
      </c>
      <c r="M253" s="402">
        <v>0</v>
      </c>
      <c r="N253" s="402">
        <v>179766981.4269501</v>
      </c>
      <c r="O253" s="402">
        <v>0</v>
      </c>
      <c r="P253" s="402">
        <v>0</v>
      </c>
      <c r="Q253" s="402">
        <v>0</v>
      </c>
      <c r="R253" s="402">
        <v>0</v>
      </c>
      <c r="S253" s="402">
        <v>0</v>
      </c>
      <c r="T253" s="402">
        <v>0</v>
      </c>
      <c r="U253" s="402">
        <v>0</v>
      </c>
      <c r="V253" s="402">
        <v>0</v>
      </c>
      <c r="W253" s="402">
        <v>0</v>
      </c>
      <c r="X253" s="402">
        <v>0</v>
      </c>
      <c r="Y253" s="402">
        <v>0</v>
      </c>
      <c r="Z253" s="402">
        <v>0</v>
      </c>
      <c r="AA253" s="402">
        <v>0</v>
      </c>
    </row>
    <row r="254" spans="10:27" ht="15" customHeight="1" x14ac:dyDescent="0.25">
      <c r="J254" s="400" t="s">
        <v>336</v>
      </c>
      <c r="K254" s="401" t="s">
        <v>773</v>
      </c>
      <c r="L254" s="402" t="s">
        <v>774</v>
      </c>
      <c r="M254" s="402">
        <v>0</v>
      </c>
      <c r="N254" s="402">
        <v>16437232.0460333</v>
      </c>
      <c r="O254" s="402">
        <v>0</v>
      </c>
      <c r="P254" s="402">
        <v>0</v>
      </c>
      <c r="Q254" s="402">
        <v>0</v>
      </c>
      <c r="R254" s="402">
        <v>0</v>
      </c>
      <c r="S254" s="402">
        <v>0</v>
      </c>
      <c r="T254" s="402">
        <v>0</v>
      </c>
      <c r="U254" s="402">
        <v>0</v>
      </c>
      <c r="V254" s="402">
        <v>0</v>
      </c>
      <c r="W254" s="402">
        <v>0</v>
      </c>
      <c r="X254" s="402">
        <v>0</v>
      </c>
      <c r="Y254" s="402">
        <v>0</v>
      </c>
      <c r="Z254" s="402">
        <v>0</v>
      </c>
      <c r="AA254" s="402">
        <v>0</v>
      </c>
    </row>
    <row r="255" spans="10:27" ht="15" customHeight="1" x14ac:dyDescent="0.25">
      <c r="J255" s="400" t="s">
        <v>336</v>
      </c>
      <c r="K255" s="401" t="s">
        <v>775</v>
      </c>
      <c r="L255" s="402" t="s">
        <v>776</v>
      </c>
      <c r="M255" s="402">
        <v>740301.20440839999</v>
      </c>
      <c r="N255" s="402">
        <v>1172773.7576925999</v>
      </c>
      <c r="O255" s="402">
        <v>0</v>
      </c>
      <c r="P255" s="402">
        <v>0</v>
      </c>
      <c r="Q255" s="402">
        <v>0</v>
      </c>
      <c r="R255" s="402">
        <v>0</v>
      </c>
      <c r="S255" s="402">
        <v>0</v>
      </c>
      <c r="T255" s="402">
        <v>0</v>
      </c>
      <c r="U255" s="402">
        <v>0</v>
      </c>
      <c r="V255" s="402">
        <v>186918.50665679999</v>
      </c>
      <c r="W255" s="402">
        <v>138345.67443789999</v>
      </c>
      <c r="X255" s="402">
        <v>138345.67443789999</v>
      </c>
      <c r="Y255" s="402">
        <v>138345.67443789999</v>
      </c>
      <c r="Z255" s="402">
        <v>138345.67443789999</v>
      </c>
      <c r="AA255" s="402">
        <v>740301.20440839999</v>
      </c>
    </row>
    <row r="256" spans="10:27" ht="15" customHeight="1" x14ac:dyDescent="0.25">
      <c r="J256" s="400" t="s">
        <v>336</v>
      </c>
      <c r="K256" s="401" t="s">
        <v>777</v>
      </c>
      <c r="L256" s="402" t="s">
        <v>778</v>
      </c>
      <c r="M256" s="402">
        <v>-816352.97196720005</v>
      </c>
      <c r="N256" s="402">
        <v>-13326873.3905563</v>
      </c>
      <c r="O256" s="402">
        <v>0</v>
      </c>
      <c r="P256" s="402">
        <v>0</v>
      </c>
      <c r="Q256" s="402">
        <v>0</v>
      </c>
      <c r="R256" s="402">
        <v>0</v>
      </c>
      <c r="S256" s="402">
        <v>0</v>
      </c>
      <c r="T256" s="402">
        <v>0</v>
      </c>
      <c r="U256" s="402">
        <v>0</v>
      </c>
      <c r="V256" s="402">
        <v>-115544.6767292</v>
      </c>
      <c r="W256" s="402">
        <v>-110958.11088979999</v>
      </c>
      <c r="X256" s="402">
        <v>-174130.59672920001</v>
      </c>
      <c r="Y256" s="402">
        <v>-203330.59672920001</v>
      </c>
      <c r="Z256" s="402">
        <v>-212388.99088980001</v>
      </c>
      <c r="AA256" s="402">
        <v>-816352.97196720005</v>
      </c>
    </row>
    <row r="257" spans="10:27" ht="15" customHeight="1" x14ac:dyDescent="0.25">
      <c r="J257" s="400" t="s">
        <v>336</v>
      </c>
      <c r="K257" s="401" t="s">
        <v>779</v>
      </c>
      <c r="L257" s="402" t="s">
        <v>780</v>
      </c>
      <c r="M257" s="402">
        <v>6033752.6906735003</v>
      </c>
      <c r="N257" s="402">
        <v>0</v>
      </c>
      <c r="O257" s="402">
        <v>0</v>
      </c>
      <c r="P257" s="402">
        <v>0</v>
      </c>
      <c r="Q257" s="402">
        <v>0</v>
      </c>
      <c r="R257" s="402">
        <v>0</v>
      </c>
      <c r="S257" s="402">
        <v>0</v>
      </c>
      <c r="T257" s="402">
        <v>0</v>
      </c>
      <c r="U257" s="402">
        <v>0</v>
      </c>
      <c r="V257" s="402">
        <v>1260045.4104750999</v>
      </c>
      <c r="W257" s="402">
        <v>1156026.6499999999</v>
      </c>
      <c r="X257" s="402">
        <v>1235387.3153750999</v>
      </c>
      <c r="Y257" s="402">
        <v>1197249.3964916</v>
      </c>
      <c r="Z257" s="402">
        <v>1185043.9183316999</v>
      </c>
      <c r="AA257" s="402">
        <v>6033752.6906735003</v>
      </c>
    </row>
    <row r="258" spans="10:27" ht="15" customHeight="1" x14ac:dyDescent="0.2">
      <c r="J258" s="392" t="s">
        <v>336</v>
      </c>
      <c r="K258" s="399" t="s">
        <v>781</v>
      </c>
      <c r="L258" s="392" t="s">
        <v>782</v>
      </c>
      <c r="M258" s="393">
        <v>69210684.626125306</v>
      </c>
      <c r="N258" s="393">
        <v>57104998.417343996</v>
      </c>
      <c r="O258" s="393">
        <v>4690274.7</v>
      </c>
      <c r="P258" s="393">
        <v>4921077.09</v>
      </c>
      <c r="Q258" s="393">
        <v>7849169.7000000002</v>
      </c>
      <c r="R258" s="393">
        <v>4516105.03</v>
      </c>
      <c r="S258" s="393">
        <v>4637256.74</v>
      </c>
      <c r="T258" s="393">
        <v>9611134.3800000008</v>
      </c>
      <c r="U258" s="393">
        <v>4692268.41</v>
      </c>
      <c r="V258" s="393">
        <v>4052889.9521146002</v>
      </c>
      <c r="W258" s="393">
        <v>6662043.7352991998</v>
      </c>
      <c r="X258" s="393">
        <v>4155541.8130029999</v>
      </c>
      <c r="Y258" s="393">
        <v>4634787.1239307001</v>
      </c>
      <c r="Z258" s="393">
        <v>8788135.9517778009</v>
      </c>
      <c r="AA258" s="393">
        <v>69210684.626125306</v>
      </c>
    </row>
    <row r="259" spans="10:27" ht="15" customHeight="1" x14ac:dyDescent="0.25">
      <c r="J259" s="400" t="s">
        <v>336</v>
      </c>
      <c r="K259" s="401" t="s">
        <v>783</v>
      </c>
      <c r="L259" s="402" t="s">
        <v>784</v>
      </c>
      <c r="M259" s="402">
        <v>175706.46</v>
      </c>
      <c r="N259" s="402">
        <v>0</v>
      </c>
      <c r="O259" s="402">
        <v>15253.68</v>
      </c>
      <c r="P259" s="402">
        <v>20708.97</v>
      </c>
      <c r="Q259" s="402">
        <v>17470.740000000002</v>
      </c>
      <c r="R259" s="402">
        <v>35351.71</v>
      </c>
      <c r="S259" s="402">
        <v>21773.360000000001</v>
      </c>
      <c r="T259" s="402">
        <v>27578.01</v>
      </c>
      <c r="U259" s="402">
        <v>37569.99</v>
      </c>
      <c r="V259" s="402">
        <v>0</v>
      </c>
      <c r="W259" s="402">
        <v>0</v>
      </c>
      <c r="X259" s="402">
        <v>0</v>
      </c>
      <c r="Y259" s="402">
        <v>0</v>
      </c>
      <c r="Z259" s="402">
        <v>0</v>
      </c>
      <c r="AA259" s="402">
        <v>175706.46</v>
      </c>
    </row>
    <row r="260" spans="10:27" ht="15" customHeight="1" x14ac:dyDescent="0.25">
      <c r="J260" s="400" t="s">
        <v>336</v>
      </c>
      <c r="K260" s="401" t="s">
        <v>785</v>
      </c>
      <c r="L260" s="402" t="s">
        <v>786</v>
      </c>
      <c r="M260" s="402">
        <v>135550.38</v>
      </c>
      <c r="N260" s="402">
        <v>0</v>
      </c>
      <c r="O260" s="402">
        <v>19012.939999999999</v>
      </c>
      <c r="P260" s="402">
        <v>22189.74</v>
      </c>
      <c r="Q260" s="402">
        <v>15600.28</v>
      </c>
      <c r="R260" s="402">
        <v>4904</v>
      </c>
      <c r="S260" s="402">
        <v>45495.07</v>
      </c>
      <c r="T260" s="402">
        <v>21824.69</v>
      </c>
      <c r="U260" s="402">
        <v>6523.66</v>
      </c>
      <c r="V260" s="402">
        <v>0</v>
      </c>
      <c r="W260" s="402">
        <v>0</v>
      </c>
      <c r="X260" s="402">
        <v>0</v>
      </c>
      <c r="Y260" s="402">
        <v>0</v>
      </c>
      <c r="Z260" s="402">
        <v>0</v>
      </c>
      <c r="AA260" s="402">
        <v>135550.38</v>
      </c>
    </row>
    <row r="261" spans="10:27" ht="15" customHeight="1" x14ac:dyDescent="0.25">
      <c r="J261" s="400" t="s">
        <v>336</v>
      </c>
      <c r="K261" s="401" t="s">
        <v>787</v>
      </c>
      <c r="L261" s="402" t="s">
        <v>788</v>
      </c>
      <c r="M261" s="402">
        <v>237543.63</v>
      </c>
      <c r="N261" s="402">
        <v>0</v>
      </c>
      <c r="O261" s="402">
        <v>0</v>
      </c>
      <c r="P261" s="402">
        <v>0</v>
      </c>
      <c r="Q261" s="402">
        <v>120000</v>
      </c>
      <c r="R261" s="402">
        <v>-41366.04</v>
      </c>
      <c r="S261" s="402">
        <v>40000</v>
      </c>
      <c r="T261" s="402">
        <v>38996.99</v>
      </c>
      <c r="U261" s="402">
        <v>79912.679999999993</v>
      </c>
      <c r="V261" s="402">
        <v>0</v>
      </c>
      <c r="W261" s="402">
        <v>0</v>
      </c>
      <c r="X261" s="402">
        <v>0</v>
      </c>
      <c r="Y261" s="402">
        <v>0</v>
      </c>
      <c r="Z261" s="402">
        <v>0</v>
      </c>
      <c r="AA261" s="402">
        <v>237543.63</v>
      </c>
    </row>
    <row r="262" spans="10:27" ht="15" customHeight="1" x14ac:dyDescent="0.25">
      <c r="J262" s="400" t="s">
        <v>336</v>
      </c>
      <c r="K262" s="401" t="s">
        <v>789</v>
      </c>
      <c r="L262" s="402" t="s">
        <v>790</v>
      </c>
      <c r="M262" s="402">
        <v>97966.28</v>
      </c>
      <c r="N262" s="402">
        <v>0</v>
      </c>
      <c r="O262" s="402">
        <v>10987.3</v>
      </c>
      <c r="P262" s="402">
        <v>10744.6</v>
      </c>
      <c r="Q262" s="402">
        <v>10620.2</v>
      </c>
      <c r="R262" s="402">
        <v>22196.5</v>
      </c>
      <c r="S262" s="402">
        <v>10877.5</v>
      </c>
      <c r="T262" s="402">
        <v>21064.78</v>
      </c>
      <c r="U262" s="402">
        <v>11475.4</v>
      </c>
      <c r="V262" s="402">
        <v>0</v>
      </c>
      <c r="W262" s="402">
        <v>0</v>
      </c>
      <c r="X262" s="402">
        <v>0</v>
      </c>
      <c r="Y262" s="402">
        <v>0</v>
      </c>
      <c r="Z262" s="402">
        <v>0</v>
      </c>
      <c r="AA262" s="402">
        <v>97966.28</v>
      </c>
    </row>
    <row r="263" spans="10:27" ht="15" customHeight="1" x14ac:dyDescent="0.25">
      <c r="J263" s="400" t="s">
        <v>336</v>
      </c>
      <c r="K263" s="401" t="s">
        <v>791</v>
      </c>
      <c r="L263" s="402" t="s">
        <v>792</v>
      </c>
      <c r="M263" s="402">
        <v>18666669</v>
      </c>
      <c r="N263" s="402">
        <v>0</v>
      </c>
      <c r="O263" s="402">
        <v>2666667</v>
      </c>
      <c r="P263" s="402">
        <v>2666667</v>
      </c>
      <c r="Q263" s="402">
        <v>2666667</v>
      </c>
      <c r="R263" s="402">
        <v>2666667</v>
      </c>
      <c r="S263" s="402">
        <v>2666667</v>
      </c>
      <c r="T263" s="402">
        <v>2666667</v>
      </c>
      <c r="U263" s="402">
        <v>2666667</v>
      </c>
      <c r="V263" s="402">
        <v>0</v>
      </c>
      <c r="W263" s="402">
        <v>0</v>
      </c>
      <c r="X263" s="402">
        <v>0</v>
      </c>
      <c r="Y263" s="402">
        <v>0</v>
      </c>
      <c r="Z263" s="402">
        <v>0</v>
      </c>
      <c r="AA263" s="402">
        <v>18666669</v>
      </c>
    </row>
    <row r="264" spans="10:27" ht="15" customHeight="1" x14ac:dyDescent="0.25">
      <c r="J264" s="400" t="s">
        <v>336</v>
      </c>
      <c r="K264" s="401" t="s">
        <v>793</v>
      </c>
      <c r="L264" s="402" t="s">
        <v>794</v>
      </c>
      <c r="M264" s="402">
        <v>-800767.5</v>
      </c>
      <c r="N264" s="402">
        <v>0</v>
      </c>
      <c r="O264" s="402">
        <v>0</v>
      </c>
      <c r="P264" s="402">
        <v>0</v>
      </c>
      <c r="Q264" s="402">
        <v>-423721.25</v>
      </c>
      <c r="R264" s="402">
        <v>0</v>
      </c>
      <c r="S264" s="402">
        <v>0</v>
      </c>
      <c r="T264" s="402">
        <v>-377046.25</v>
      </c>
      <c r="U264" s="402">
        <v>0</v>
      </c>
      <c r="V264" s="402">
        <v>0</v>
      </c>
      <c r="W264" s="402">
        <v>0</v>
      </c>
      <c r="X264" s="402">
        <v>0</v>
      </c>
      <c r="Y264" s="402">
        <v>0</v>
      </c>
      <c r="Z264" s="402">
        <v>0</v>
      </c>
      <c r="AA264" s="402">
        <v>-800767.5</v>
      </c>
    </row>
    <row r="265" spans="10:27" ht="15" customHeight="1" x14ac:dyDescent="0.25">
      <c r="J265" s="400" t="s">
        <v>336</v>
      </c>
      <c r="K265" s="401" t="s">
        <v>795</v>
      </c>
      <c r="L265" s="402" t="s">
        <v>796</v>
      </c>
      <c r="M265" s="402">
        <v>950863</v>
      </c>
      <c r="N265" s="402">
        <v>0</v>
      </c>
      <c r="O265" s="402">
        <v>0</v>
      </c>
      <c r="P265" s="402">
        <v>0</v>
      </c>
      <c r="Q265" s="402">
        <v>524015.5</v>
      </c>
      <c r="R265" s="402">
        <v>0</v>
      </c>
      <c r="S265" s="402">
        <v>0</v>
      </c>
      <c r="T265" s="402">
        <v>426847.5</v>
      </c>
      <c r="U265" s="402">
        <v>0</v>
      </c>
      <c r="V265" s="402">
        <v>0</v>
      </c>
      <c r="W265" s="402">
        <v>0</v>
      </c>
      <c r="X265" s="402">
        <v>0</v>
      </c>
      <c r="Y265" s="402">
        <v>0</v>
      </c>
      <c r="Z265" s="402">
        <v>0</v>
      </c>
      <c r="AA265" s="402">
        <v>950863</v>
      </c>
    </row>
    <row r="266" spans="10:27" ht="15" customHeight="1" x14ac:dyDescent="0.25">
      <c r="J266" s="400" t="s">
        <v>336</v>
      </c>
      <c r="K266" s="401" t="s">
        <v>797</v>
      </c>
      <c r="L266" s="402" t="s">
        <v>798</v>
      </c>
      <c r="M266" s="402">
        <v>1573637</v>
      </c>
      <c r="N266" s="402">
        <v>0</v>
      </c>
      <c r="O266" s="402">
        <v>0</v>
      </c>
      <c r="P266" s="402">
        <v>0</v>
      </c>
      <c r="Q266" s="402">
        <v>754832</v>
      </c>
      <c r="R266" s="402">
        <v>0</v>
      </c>
      <c r="S266" s="402">
        <v>0</v>
      </c>
      <c r="T266" s="402">
        <v>818805</v>
      </c>
      <c r="U266" s="402">
        <v>0</v>
      </c>
      <c r="V266" s="402">
        <v>0</v>
      </c>
      <c r="W266" s="402">
        <v>0</v>
      </c>
      <c r="X266" s="402">
        <v>0</v>
      </c>
      <c r="Y266" s="402">
        <v>0</v>
      </c>
      <c r="Z266" s="402">
        <v>0</v>
      </c>
      <c r="AA266" s="402">
        <v>1573637</v>
      </c>
    </row>
    <row r="267" spans="10:27" ht="15" customHeight="1" x14ac:dyDescent="0.25">
      <c r="J267" s="400" t="s">
        <v>336</v>
      </c>
      <c r="K267" s="401" t="s">
        <v>799</v>
      </c>
      <c r="L267" s="402" t="s">
        <v>800</v>
      </c>
      <c r="M267" s="402">
        <v>2937283.78</v>
      </c>
      <c r="N267" s="402">
        <v>0</v>
      </c>
      <c r="O267" s="402">
        <v>0</v>
      </c>
      <c r="P267" s="402">
        <v>0</v>
      </c>
      <c r="Q267" s="402">
        <v>1128052.1499999999</v>
      </c>
      <c r="R267" s="402">
        <v>0</v>
      </c>
      <c r="S267" s="402">
        <v>0</v>
      </c>
      <c r="T267" s="402">
        <v>1809231.63</v>
      </c>
      <c r="U267" s="402">
        <v>0</v>
      </c>
      <c r="V267" s="402">
        <v>0</v>
      </c>
      <c r="W267" s="402">
        <v>0</v>
      </c>
      <c r="X267" s="402">
        <v>0</v>
      </c>
      <c r="Y267" s="402">
        <v>0</v>
      </c>
      <c r="Z267" s="402">
        <v>0</v>
      </c>
      <c r="AA267" s="402">
        <v>2937283.78</v>
      </c>
    </row>
    <row r="268" spans="10:27" ht="15" customHeight="1" x14ac:dyDescent="0.25">
      <c r="J268" s="400" t="s">
        <v>336</v>
      </c>
      <c r="K268" s="401" t="s">
        <v>801</v>
      </c>
      <c r="L268" s="402" t="s">
        <v>802</v>
      </c>
      <c r="M268" s="402">
        <v>122328.75</v>
      </c>
      <c r="N268" s="402">
        <v>0</v>
      </c>
      <c r="O268" s="402">
        <v>32870.410000000003</v>
      </c>
      <c r="P268" s="402">
        <v>23322.68</v>
      </c>
      <c r="Q268" s="402">
        <v>13574.93</v>
      </c>
      <c r="R268" s="402">
        <v>-18145.41</v>
      </c>
      <c r="S268" s="402">
        <v>18557.849999999999</v>
      </c>
      <c r="T268" s="402">
        <v>121199.26</v>
      </c>
      <c r="U268" s="402">
        <v>-69050.97</v>
      </c>
      <c r="V268" s="402">
        <v>0</v>
      </c>
      <c r="W268" s="402">
        <v>0</v>
      </c>
      <c r="X268" s="402">
        <v>0</v>
      </c>
      <c r="Y268" s="402">
        <v>0</v>
      </c>
      <c r="Z268" s="402">
        <v>0</v>
      </c>
      <c r="AA268" s="402">
        <v>122328.75</v>
      </c>
    </row>
    <row r="269" spans="10:27" ht="15" customHeight="1" x14ac:dyDescent="0.25">
      <c r="J269" s="400" t="s">
        <v>336</v>
      </c>
      <c r="K269" s="401" t="s">
        <v>803</v>
      </c>
      <c r="L269" s="402" t="s">
        <v>804</v>
      </c>
      <c r="M269" s="402">
        <v>4810579.51</v>
      </c>
      <c r="N269" s="402">
        <v>0</v>
      </c>
      <c r="O269" s="402">
        <v>609782.59</v>
      </c>
      <c r="P269" s="402">
        <v>598664.19999999995</v>
      </c>
      <c r="Q269" s="402">
        <v>847676.63</v>
      </c>
      <c r="R269" s="402">
        <v>605583.30000000005</v>
      </c>
      <c r="S269" s="402">
        <v>622350.89</v>
      </c>
      <c r="T269" s="402">
        <v>906207.35</v>
      </c>
      <c r="U269" s="402">
        <v>620314.55000000005</v>
      </c>
      <c r="V269" s="402">
        <v>0</v>
      </c>
      <c r="W269" s="402">
        <v>0</v>
      </c>
      <c r="X269" s="402">
        <v>0</v>
      </c>
      <c r="Y269" s="402">
        <v>0</v>
      </c>
      <c r="Z269" s="402">
        <v>0</v>
      </c>
      <c r="AA269" s="402">
        <v>4810579.51</v>
      </c>
    </row>
    <row r="270" spans="10:27" ht="15" customHeight="1" x14ac:dyDescent="0.25">
      <c r="J270" s="400" t="s">
        <v>336</v>
      </c>
      <c r="K270" s="401" t="s">
        <v>805</v>
      </c>
      <c r="L270" s="402" t="s">
        <v>806</v>
      </c>
      <c r="M270" s="402">
        <v>165313.69</v>
      </c>
      <c r="N270" s="402">
        <v>0</v>
      </c>
      <c r="O270" s="402">
        <v>0</v>
      </c>
      <c r="P270" s="402">
        <v>0</v>
      </c>
      <c r="Q270" s="402">
        <v>165313.69</v>
      </c>
      <c r="R270" s="402">
        <v>0</v>
      </c>
      <c r="S270" s="402">
        <v>0</v>
      </c>
      <c r="T270" s="402">
        <v>0</v>
      </c>
      <c r="U270" s="402">
        <v>0</v>
      </c>
      <c r="V270" s="402">
        <v>0</v>
      </c>
      <c r="W270" s="402">
        <v>0</v>
      </c>
      <c r="X270" s="402">
        <v>0</v>
      </c>
      <c r="Y270" s="402">
        <v>0</v>
      </c>
      <c r="Z270" s="402">
        <v>0</v>
      </c>
      <c r="AA270" s="402">
        <v>165313.69</v>
      </c>
    </row>
    <row r="271" spans="10:27" ht="15" customHeight="1" x14ac:dyDescent="0.25">
      <c r="J271" s="400" t="s">
        <v>336</v>
      </c>
      <c r="K271" s="401" t="s">
        <v>807</v>
      </c>
      <c r="L271" s="402" t="s">
        <v>808</v>
      </c>
      <c r="M271" s="402">
        <v>1057531.05</v>
      </c>
      <c r="N271" s="402">
        <v>0</v>
      </c>
      <c r="O271" s="402">
        <v>0</v>
      </c>
      <c r="P271" s="402">
        <v>0</v>
      </c>
      <c r="Q271" s="402">
        <v>-3829.34</v>
      </c>
      <c r="R271" s="402">
        <v>0</v>
      </c>
      <c r="S271" s="402">
        <v>0</v>
      </c>
      <c r="T271" s="402">
        <v>1061360.3899999999</v>
      </c>
      <c r="U271" s="402">
        <v>0</v>
      </c>
      <c r="V271" s="402">
        <v>0</v>
      </c>
      <c r="W271" s="402">
        <v>0</v>
      </c>
      <c r="X271" s="402">
        <v>0</v>
      </c>
      <c r="Y271" s="402">
        <v>0</v>
      </c>
      <c r="Z271" s="402">
        <v>0</v>
      </c>
      <c r="AA271" s="402">
        <v>1057531.05</v>
      </c>
    </row>
    <row r="272" spans="10:27" ht="15" customHeight="1" x14ac:dyDescent="0.25">
      <c r="J272" s="400" t="s">
        <v>336</v>
      </c>
      <c r="K272" s="401" t="s">
        <v>809</v>
      </c>
      <c r="L272" s="402" t="s">
        <v>810</v>
      </c>
      <c r="M272" s="402">
        <v>650000</v>
      </c>
      <c r="N272" s="402">
        <v>0</v>
      </c>
      <c r="O272" s="402">
        <v>0</v>
      </c>
      <c r="P272" s="402">
        <v>0</v>
      </c>
      <c r="Q272" s="402">
        <v>425000</v>
      </c>
      <c r="R272" s="402">
        <v>0</v>
      </c>
      <c r="S272" s="402">
        <v>0</v>
      </c>
      <c r="T272" s="402">
        <v>225000</v>
      </c>
      <c r="U272" s="402">
        <v>0</v>
      </c>
      <c r="V272" s="402">
        <v>0</v>
      </c>
      <c r="W272" s="402">
        <v>0</v>
      </c>
      <c r="X272" s="402">
        <v>0</v>
      </c>
      <c r="Y272" s="402">
        <v>0</v>
      </c>
      <c r="Z272" s="402">
        <v>0</v>
      </c>
      <c r="AA272" s="402">
        <v>650000</v>
      </c>
    </row>
    <row r="273" spans="10:27" ht="15" customHeight="1" x14ac:dyDescent="0.25">
      <c r="J273" s="400" t="s">
        <v>336</v>
      </c>
      <c r="K273" s="401" t="s">
        <v>811</v>
      </c>
      <c r="L273" s="402" t="s">
        <v>812</v>
      </c>
      <c r="M273" s="402">
        <v>882430.39</v>
      </c>
      <c r="N273" s="402">
        <v>0</v>
      </c>
      <c r="O273" s="402">
        <v>0</v>
      </c>
      <c r="P273" s="402">
        <v>190000</v>
      </c>
      <c r="Q273" s="402">
        <v>312757.02</v>
      </c>
      <c r="R273" s="402">
        <v>-92735.15</v>
      </c>
      <c r="S273" s="402">
        <v>90000</v>
      </c>
      <c r="T273" s="402">
        <v>158765.60999999999</v>
      </c>
      <c r="U273" s="402">
        <v>223642.91</v>
      </c>
      <c r="V273" s="402">
        <v>0</v>
      </c>
      <c r="W273" s="402">
        <v>0</v>
      </c>
      <c r="X273" s="402">
        <v>0</v>
      </c>
      <c r="Y273" s="402">
        <v>0</v>
      </c>
      <c r="Z273" s="402">
        <v>0</v>
      </c>
      <c r="AA273" s="402">
        <v>882430.39</v>
      </c>
    </row>
    <row r="274" spans="10:27" ht="15" customHeight="1" x14ac:dyDescent="0.25">
      <c r="J274" s="400" t="s">
        <v>336</v>
      </c>
      <c r="K274" s="401" t="s">
        <v>813</v>
      </c>
      <c r="L274" s="402" t="s">
        <v>814</v>
      </c>
      <c r="M274" s="402">
        <v>700000</v>
      </c>
      <c r="N274" s="402">
        <v>0</v>
      </c>
      <c r="O274" s="402">
        <v>100000</v>
      </c>
      <c r="P274" s="402">
        <v>100000</v>
      </c>
      <c r="Q274" s="402">
        <v>100000</v>
      </c>
      <c r="R274" s="402">
        <v>100000</v>
      </c>
      <c r="S274" s="402">
        <v>100000</v>
      </c>
      <c r="T274" s="402">
        <v>100000</v>
      </c>
      <c r="U274" s="402">
        <v>100000</v>
      </c>
      <c r="V274" s="402">
        <v>0</v>
      </c>
      <c r="W274" s="402">
        <v>0</v>
      </c>
      <c r="X274" s="402">
        <v>0</v>
      </c>
      <c r="Y274" s="402">
        <v>0</v>
      </c>
      <c r="Z274" s="402">
        <v>0</v>
      </c>
      <c r="AA274" s="402">
        <v>700000</v>
      </c>
    </row>
    <row r="275" spans="10:27" ht="15" customHeight="1" x14ac:dyDescent="0.25">
      <c r="J275" s="400" t="s">
        <v>336</v>
      </c>
      <c r="K275" s="401" t="s">
        <v>815</v>
      </c>
      <c r="L275" s="402" t="s">
        <v>816</v>
      </c>
      <c r="M275" s="402">
        <v>1055022.5</v>
      </c>
      <c r="N275" s="402">
        <v>0</v>
      </c>
      <c r="O275" s="402">
        <v>0</v>
      </c>
      <c r="P275" s="402">
        <v>0</v>
      </c>
      <c r="Q275" s="402">
        <v>76646.25</v>
      </c>
      <c r="R275" s="402">
        <v>0</v>
      </c>
      <c r="S275" s="402">
        <v>0</v>
      </c>
      <c r="T275" s="402">
        <v>978376.25</v>
      </c>
      <c r="U275" s="402">
        <v>0</v>
      </c>
      <c r="V275" s="402">
        <v>0</v>
      </c>
      <c r="W275" s="402">
        <v>0</v>
      </c>
      <c r="X275" s="402">
        <v>0</v>
      </c>
      <c r="Y275" s="402">
        <v>0</v>
      </c>
      <c r="Z275" s="402">
        <v>0</v>
      </c>
      <c r="AA275" s="402">
        <v>1055022.5</v>
      </c>
    </row>
    <row r="276" spans="10:27" ht="15" customHeight="1" x14ac:dyDescent="0.25">
      <c r="J276" s="400" t="s">
        <v>336</v>
      </c>
      <c r="K276" s="401" t="s">
        <v>817</v>
      </c>
      <c r="L276" s="402" t="s">
        <v>818</v>
      </c>
      <c r="M276" s="402">
        <v>187581.71</v>
      </c>
      <c r="N276" s="402">
        <v>0</v>
      </c>
      <c r="O276" s="402">
        <v>0</v>
      </c>
      <c r="P276" s="402">
        <v>31164.28</v>
      </c>
      <c r="Q276" s="402">
        <v>56748.480000000003</v>
      </c>
      <c r="R276" s="402">
        <v>0</v>
      </c>
      <c r="S276" s="402">
        <v>99668.95</v>
      </c>
      <c r="T276" s="402">
        <v>0</v>
      </c>
      <c r="U276" s="402">
        <v>0</v>
      </c>
      <c r="V276" s="402">
        <v>0</v>
      </c>
      <c r="W276" s="402">
        <v>0</v>
      </c>
      <c r="X276" s="402">
        <v>0</v>
      </c>
      <c r="Y276" s="402">
        <v>0</v>
      </c>
      <c r="Z276" s="402">
        <v>0</v>
      </c>
      <c r="AA276" s="402">
        <v>187581.71</v>
      </c>
    </row>
    <row r="277" spans="10:27" ht="15" customHeight="1" x14ac:dyDescent="0.25">
      <c r="J277" s="400" t="s">
        <v>336</v>
      </c>
      <c r="K277" s="401" t="s">
        <v>819</v>
      </c>
      <c r="L277" s="402" t="s">
        <v>820</v>
      </c>
      <c r="M277" s="402">
        <v>116944.23</v>
      </c>
      <c r="N277" s="402">
        <v>0</v>
      </c>
      <c r="O277" s="402">
        <v>7977.68</v>
      </c>
      <c r="P277" s="402">
        <v>17885.919999999998</v>
      </c>
      <c r="Q277" s="402">
        <v>6909.82</v>
      </c>
      <c r="R277" s="402">
        <v>11630.93</v>
      </c>
      <c r="S277" s="402">
        <v>42086.37</v>
      </c>
      <c r="T277" s="402">
        <v>20804.59</v>
      </c>
      <c r="U277" s="402">
        <v>9648.92</v>
      </c>
      <c r="V277" s="402">
        <v>0</v>
      </c>
      <c r="W277" s="402">
        <v>0</v>
      </c>
      <c r="X277" s="402">
        <v>0</v>
      </c>
      <c r="Y277" s="402">
        <v>0</v>
      </c>
      <c r="Z277" s="402">
        <v>0</v>
      </c>
      <c r="AA277" s="402">
        <v>116944.23</v>
      </c>
    </row>
    <row r="278" spans="10:27" ht="15" customHeight="1" x14ac:dyDescent="0.25">
      <c r="J278" s="400" t="s">
        <v>336</v>
      </c>
      <c r="K278" s="401" t="s">
        <v>821</v>
      </c>
      <c r="L278" s="402" t="s">
        <v>822</v>
      </c>
      <c r="M278" s="402">
        <v>14474440.960000001</v>
      </c>
      <c r="N278" s="402">
        <v>0</v>
      </c>
      <c r="O278" s="402">
        <v>2174583.33</v>
      </c>
      <c r="P278" s="402">
        <v>2174583.33</v>
      </c>
      <c r="Q278" s="402">
        <v>2264349.9700000002</v>
      </c>
      <c r="R278" s="402">
        <v>2174583.33</v>
      </c>
      <c r="S278" s="402">
        <v>2174583.33</v>
      </c>
      <c r="T278" s="402">
        <v>1456804.19</v>
      </c>
      <c r="U278" s="402">
        <v>2054953.48</v>
      </c>
      <c r="V278" s="402">
        <v>0</v>
      </c>
      <c r="W278" s="402">
        <v>0</v>
      </c>
      <c r="X278" s="402">
        <v>0</v>
      </c>
      <c r="Y278" s="402">
        <v>0</v>
      </c>
      <c r="Z278" s="402">
        <v>0</v>
      </c>
      <c r="AA278" s="402">
        <v>14474440.960000001</v>
      </c>
    </row>
    <row r="279" spans="10:27" ht="15" customHeight="1" x14ac:dyDescent="0.25">
      <c r="J279" s="400" t="s">
        <v>336</v>
      </c>
      <c r="K279" s="401" t="s">
        <v>823</v>
      </c>
      <c r="L279" s="402" t="s">
        <v>824</v>
      </c>
      <c r="M279" s="402">
        <v>59475</v>
      </c>
      <c r="N279" s="402">
        <v>0</v>
      </c>
      <c r="O279" s="402">
        <v>75</v>
      </c>
      <c r="P279" s="402">
        <v>0</v>
      </c>
      <c r="Q279" s="402">
        <v>0</v>
      </c>
      <c r="R279" s="402">
        <v>37000</v>
      </c>
      <c r="S279" s="402">
        <v>0</v>
      </c>
      <c r="T279" s="402">
        <v>22400</v>
      </c>
      <c r="U279" s="402">
        <v>0</v>
      </c>
      <c r="V279" s="402">
        <v>0</v>
      </c>
      <c r="W279" s="402">
        <v>0</v>
      </c>
      <c r="X279" s="402">
        <v>0</v>
      </c>
      <c r="Y279" s="402">
        <v>0</v>
      </c>
      <c r="Z279" s="402">
        <v>0</v>
      </c>
      <c r="AA279" s="402">
        <v>59475</v>
      </c>
    </row>
    <row r="280" spans="10:27" ht="15" customHeight="1" x14ac:dyDescent="0.25">
      <c r="J280" s="400" t="s">
        <v>336</v>
      </c>
      <c r="K280" s="401" t="s">
        <v>825</v>
      </c>
      <c r="L280" s="402" t="s">
        <v>826</v>
      </c>
      <c r="M280" s="402">
        <v>354008.96</v>
      </c>
      <c r="N280" s="402">
        <v>-178403.11956389999</v>
      </c>
      <c r="O280" s="402">
        <v>0</v>
      </c>
      <c r="P280" s="402">
        <v>19.510000000000002</v>
      </c>
      <c r="Q280" s="402">
        <v>0</v>
      </c>
      <c r="R280" s="402">
        <v>0</v>
      </c>
      <c r="S280" s="402">
        <v>-1172.95</v>
      </c>
      <c r="T280" s="402">
        <v>-3764.33</v>
      </c>
      <c r="U280" s="402">
        <v>-3202.35</v>
      </c>
      <c r="V280" s="402">
        <v>72976.343999999997</v>
      </c>
      <c r="W280" s="402">
        <v>72288.183999999994</v>
      </c>
      <c r="X280" s="402">
        <v>72288.183999999994</v>
      </c>
      <c r="Y280" s="402">
        <v>72288.183999999994</v>
      </c>
      <c r="Z280" s="402">
        <v>72288.183999999994</v>
      </c>
      <c r="AA280" s="402">
        <v>354008.96</v>
      </c>
    </row>
    <row r="281" spans="10:27" ht="15" customHeight="1" x14ac:dyDescent="0.25">
      <c r="J281" s="400" t="s">
        <v>336</v>
      </c>
      <c r="K281" s="401" t="s">
        <v>827</v>
      </c>
      <c r="L281" s="402" t="s">
        <v>828</v>
      </c>
      <c r="M281" s="402">
        <v>-12950120.67</v>
      </c>
      <c r="N281" s="402">
        <v>0</v>
      </c>
      <c r="O281" s="402">
        <v>-1664049.75</v>
      </c>
      <c r="P281" s="402">
        <v>-1674197.86</v>
      </c>
      <c r="Q281" s="402">
        <v>-1921910.15</v>
      </c>
      <c r="R281" s="402">
        <v>-1731139.12</v>
      </c>
      <c r="S281" s="402">
        <v>-2070749.37</v>
      </c>
      <c r="T281" s="402">
        <v>-2047782.5</v>
      </c>
      <c r="U281" s="402">
        <v>-1840291.92</v>
      </c>
      <c r="V281" s="402">
        <v>0</v>
      </c>
      <c r="W281" s="402">
        <v>0</v>
      </c>
      <c r="X281" s="402">
        <v>0</v>
      </c>
      <c r="Y281" s="402">
        <v>0</v>
      </c>
      <c r="Z281" s="402">
        <v>0</v>
      </c>
      <c r="AA281" s="402">
        <v>-12950120.67</v>
      </c>
    </row>
    <row r="282" spans="10:27" ht="15" customHeight="1" x14ac:dyDescent="0.25">
      <c r="J282" s="400" t="s">
        <v>336</v>
      </c>
      <c r="K282" s="401" t="s">
        <v>829</v>
      </c>
      <c r="L282" s="402" t="s">
        <v>830</v>
      </c>
      <c r="M282" s="402">
        <v>0</v>
      </c>
      <c r="N282" s="402">
        <v>53057590.509465598</v>
      </c>
      <c r="O282" s="402">
        <v>0</v>
      </c>
      <c r="P282" s="402">
        <v>0</v>
      </c>
      <c r="Q282" s="402">
        <v>0</v>
      </c>
      <c r="R282" s="402">
        <v>0</v>
      </c>
      <c r="S282" s="402">
        <v>0</v>
      </c>
      <c r="T282" s="402">
        <v>0</v>
      </c>
      <c r="U282" s="402">
        <v>0</v>
      </c>
      <c r="V282" s="402">
        <v>0</v>
      </c>
      <c r="W282" s="402">
        <v>0</v>
      </c>
      <c r="X282" s="402">
        <v>0</v>
      </c>
      <c r="Y282" s="402">
        <v>0</v>
      </c>
      <c r="Z282" s="402">
        <v>0</v>
      </c>
      <c r="AA282" s="402">
        <v>0</v>
      </c>
    </row>
    <row r="283" spans="10:27" ht="15" customHeight="1" x14ac:dyDescent="0.25">
      <c r="J283" s="400" t="s">
        <v>336</v>
      </c>
      <c r="K283" s="401" t="s">
        <v>831</v>
      </c>
      <c r="L283" s="402" t="s">
        <v>832</v>
      </c>
      <c r="M283" s="402">
        <v>21063367.087508202</v>
      </c>
      <c r="N283" s="402">
        <v>0</v>
      </c>
      <c r="O283" s="402">
        <v>0</v>
      </c>
      <c r="P283" s="402">
        <v>0</v>
      </c>
      <c r="Q283" s="402">
        <v>0</v>
      </c>
      <c r="R283" s="402">
        <v>0</v>
      </c>
      <c r="S283" s="402">
        <v>0</v>
      </c>
      <c r="T283" s="402">
        <v>0</v>
      </c>
      <c r="U283" s="402">
        <v>0</v>
      </c>
      <c r="V283" s="402">
        <v>4390550.3273459999</v>
      </c>
      <c r="W283" s="402">
        <v>4047172.3094080002</v>
      </c>
      <c r="X283" s="402">
        <v>4264552.0792023996</v>
      </c>
      <c r="Y283" s="402">
        <v>4263527.0668401998</v>
      </c>
      <c r="Z283" s="402">
        <v>4097565.3047115998</v>
      </c>
      <c r="AA283" s="402">
        <v>21063367.087508202</v>
      </c>
    </row>
    <row r="284" spans="10:27" ht="15" customHeight="1" x14ac:dyDescent="0.25">
      <c r="J284" s="400" t="s">
        <v>336</v>
      </c>
      <c r="K284" s="401" t="s">
        <v>833</v>
      </c>
      <c r="L284" s="402" t="s">
        <v>834</v>
      </c>
      <c r="M284" s="402">
        <v>-33384994.344399702</v>
      </c>
      <c r="N284" s="402">
        <v>-86187831.996610403</v>
      </c>
      <c r="O284" s="402">
        <v>0</v>
      </c>
      <c r="P284" s="402">
        <v>0</v>
      </c>
      <c r="Q284" s="402">
        <v>0</v>
      </c>
      <c r="R284" s="402">
        <v>0</v>
      </c>
      <c r="S284" s="402">
        <v>0</v>
      </c>
      <c r="T284" s="402">
        <v>0</v>
      </c>
      <c r="U284" s="402">
        <v>0</v>
      </c>
      <c r="V284" s="402">
        <v>-6970467.4835738996</v>
      </c>
      <c r="W284" s="402">
        <v>-6423368.2824513</v>
      </c>
      <c r="X284" s="402">
        <v>-6766129.2245418997</v>
      </c>
      <c r="Y284" s="402">
        <v>-6754858.9012519997</v>
      </c>
      <c r="Z284" s="402">
        <v>-6470170.4525806</v>
      </c>
      <c r="AA284" s="402">
        <v>-33384994.344399702</v>
      </c>
    </row>
    <row r="285" spans="10:27" ht="15" customHeight="1" x14ac:dyDescent="0.25">
      <c r="J285" s="400" t="s">
        <v>336</v>
      </c>
      <c r="K285" s="401" t="s">
        <v>835</v>
      </c>
      <c r="L285" s="402" t="s">
        <v>836</v>
      </c>
      <c r="M285" s="402">
        <v>5619427.0199999996</v>
      </c>
      <c r="N285" s="402">
        <v>0</v>
      </c>
      <c r="O285" s="402">
        <v>717114.52</v>
      </c>
      <c r="P285" s="402">
        <v>739324.72</v>
      </c>
      <c r="Q285" s="402">
        <v>692395.78</v>
      </c>
      <c r="R285" s="402">
        <v>741573.98</v>
      </c>
      <c r="S285" s="402">
        <v>777118.74</v>
      </c>
      <c r="T285" s="402">
        <v>1157794.22</v>
      </c>
      <c r="U285" s="402">
        <v>794105.06</v>
      </c>
      <c r="V285" s="402">
        <v>0</v>
      </c>
      <c r="W285" s="402">
        <v>0</v>
      </c>
      <c r="X285" s="402">
        <v>0</v>
      </c>
      <c r="Y285" s="402">
        <v>0</v>
      </c>
      <c r="Z285" s="402">
        <v>0</v>
      </c>
      <c r="AA285" s="402">
        <v>5619427.0199999996</v>
      </c>
    </row>
    <row r="286" spans="10:27" ht="15" customHeight="1" x14ac:dyDescent="0.25">
      <c r="J286" s="400" t="s">
        <v>336</v>
      </c>
      <c r="K286" s="401" t="s">
        <v>837</v>
      </c>
      <c r="L286" s="402" t="s">
        <v>838</v>
      </c>
      <c r="M286" s="402">
        <v>127500</v>
      </c>
      <c r="N286" s="402">
        <v>306000</v>
      </c>
      <c r="O286" s="402">
        <v>0</v>
      </c>
      <c r="P286" s="402">
        <v>0</v>
      </c>
      <c r="Q286" s="402">
        <v>0</v>
      </c>
      <c r="R286" s="402">
        <v>0</v>
      </c>
      <c r="S286" s="402">
        <v>0</v>
      </c>
      <c r="T286" s="402">
        <v>0</v>
      </c>
      <c r="U286" s="402">
        <v>0</v>
      </c>
      <c r="V286" s="402">
        <v>25500</v>
      </c>
      <c r="W286" s="402">
        <v>25500</v>
      </c>
      <c r="X286" s="402">
        <v>25500</v>
      </c>
      <c r="Y286" s="402">
        <v>25500</v>
      </c>
      <c r="Z286" s="402">
        <v>25500</v>
      </c>
      <c r="AA286" s="402">
        <v>127500</v>
      </c>
    </row>
    <row r="287" spans="10:27" ht="15" customHeight="1" x14ac:dyDescent="0.25">
      <c r="J287" s="400" t="s">
        <v>336</v>
      </c>
      <c r="K287" s="401" t="s">
        <v>839</v>
      </c>
      <c r="L287" s="402" t="s">
        <v>840</v>
      </c>
      <c r="M287" s="402">
        <v>89583.333333500006</v>
      </c>
      <c r="N287" s="402">
        <v>215000.0000004</v>
      </c>
      <c r="O287" s="402">
        <v>0</v>
      </c>
      <c r="P287" s="402">
        <v>0</v>
      </c>
      <c r="Q287" s="402">
        <v>0</v>
      </c>
      <c r="R287" s="402">
        <v>0</v>
      </c>
      <c r="S287" s="402">
        <v>0</v>
      </c>
      <c r="T287" s="402">
        <v>0</v>
      </c>
      <c r="U287" s="402">
        <v>0</v>
      </c>
      <c r="V287" s="402">
        <v>17916.666666699999</v>
      </c>
      <c r="W287" s="402">
        <v>17916.666666699999</v>
      </c>
      <c r="X287" s="402">
        <v>17916.666666699999</v>
      </c>
      <c r="Y287" s="402">
        <v>17916.666666699999</v>
      </c>
      <c r="Z287" s="402">
        <v>17916.666666699999</v>
      </c>
      <c r="AA287" s="402">
        <v>89583.333333500006</v>
      </c>
    </row>
    <row r="288" spans="10:27" ht="15" customHeight="1" x14ac:dyDescent="0.25">
      <c r="J288" s="400" t="s">
        <v>336</v>
      </c>
      <c r="K288" s="401" t="s">
        <v>841</v>
      </c>
      <c r="L288" s="402" t="s">
        <v>842</v>
      </c>
      <c r="M288" s="402">
        <v>148333.33333349999</v>
      </c>
      <c r="N288" s="402">
        <v>356000.0000004</v>
      </c>
      <c r="O288" s="402">
        <v>0</v>
      </c>
      <c r="P288" s="402">
        <v>0</v>
      </c>
      <c r="Q288" s="402">
        <v>0</v>
      </c>
      <c r="R288" s="402">
        <v>0</v>
      </c>
      <c r="S288" s="402">
        <v>0</v>
      </c>
      <c r="T288" s="402">
        <v>0</v>
      </c>
      <c r="U288" s="402">
        <v>0</v>
      </c>
      <c r="V288" s="402">
        <v>29666.666666699999</v>
      </c>
      <c r="W288" s="402">
        <v>29666.666666699999</v>
      </c>
      <c r="X288" s="402">
        <v>29666.666666699999</v>
      </c>
      <c r="Y288" s="402">
        <v>29666.666666699999</v>
      </c>
      <c r="Z288" s="402">
        <v>29666.666666699999</v>
      </c>
      <c r="AA288" s="402">
        <v>148333.33333349999</v>
      </c>
    </row>
    <row r="289" spans="10:27" ht="15" customHeight="1" x14ac:dyDescent="0.25">
      <c r="J289" s="400" t="s">
        <v>336</v>
      </c>
      <c r="K289" s="401" t="s">
        <v>843</v>
      </c>
      <c r="L289" s="402" t="s">
        <v>844</v>
      </c>
      <c r="M289" s="402">
        <v>60000</v>
      </c>
      <c r="N289" s="402">
        <v>144000</v>
      </c>
      <c r="O289" s="402">
        <v>0</v>
      </c>
      <c r="P289" s="402">
        <v>0</v>
      </c>
      <c r="Q289" s="402">
        <v>0</v>
      </c>
      <c r="R289" s="402">
        <v>0</v>
      </c>
      <c r="S289" s="402">
        <v>0</v>
      </c>
      <c r="T289" s="402">
        <v>0</v>
      </c>
      <c r="U289" s="402">
        <v>0</v>
      </c>
      <c r="V289" s="402">
        <v>12000</v>
      </c>
      <c r="W289" s="402">
        <v>12000</v>
      </c>
      <c r="X289" s="402">
        <v>12000</v>
      </c>
      <c r="Y289" s="402">
        <v>12000</v>
      </c>
      <c r="Z289" s="402">
        <v>12000</v>
      </c>
      <c r="AA289" s="402">
        <v>60000</v>
      </c>
    </row>
    <row r="290" spans="10:27" ht="15" customHeight="1" x14ac:dyDescent="0.25">
      <c r="J290" s="400" t="s">
        <v>336</v>
      </c>
      <c r="K290" s="401" t="s">
        <v>845</v>
      </c>
      <c r="L290" s="402" t="s">
        <v>846</v>
      </c>
      <c r="M290" s="402">
        <v>13333333.3333335</v>
      </c>
      <c r="N290" s="402">
        <v>32000000.000000399</v>
      </c>
      <c r="O290" s="402">
        <v>0</v>
      </c>
      <c r="P290" s="402">
        <v>0</v>
      </c>
      <c r="Q290" s="402">
        <v>0</v>
      </c>
      <c r="R290" s="402">
        <v>0</v>
      </c>
      <c r="S290" s="402">
        <v>0</v>
      </c>
      <c r="T290" s="402">
        <v>0</v>
      </c>
      <c r="U290" s="402">
        <v>0</v>
      </c>
      <c r="V290" s="402">
        <v>2666666.6666667</v>
      </c>
      <c r="W290" s="402">
        <v>2666666.6666667</v>
      </c>
      <c r="X290" s="402">
        <v>2666666.6666667</v>
      </c>
      <c r="Y290" s="402">
        <v>2666666.6666667</v>
      </c>
      <c r="Z290" s="402">
        <v>2666666.6666667</v>
      </c>
      <c r="AA290" s="402">
        <v>13333333.3333335</v>
      </c>
    </row>
    <row r="291" spans="10:27" ht="15" customHeight="1" x14ac:dyDescent="0.25">
      <c r="J291" s="400" t="s">
        <v>336</v>
      </c>
      <c r="K291" s="401" t="s">
        <v>847</v>
      </c>
      <c r="L291" s="402" t="s">
        <v>848</v>
      </c>
      <c r="M291" s="402">
        <v>-800767.5</v>
      </c>
      <c r="N291" s="402">
        <v>-1845184</v>
      </c>
      <c r="O291" s="402">
        <v>0</v>
      </c>
      <c r="P291" s="402">
        <v>0</v>
      </c>
      <c r="Q291" s="402">
        <v>0</v>
      </c>
      <c r="R291" s="402">
        <v>0</v>
      </c>
      <c r="S291" s="402">
        <v>0</v>
      </c>
      <c r="T291" s="402">
        <v>0</v>
      </c>
      <c r="U291" s="402">
        <v>0</v>
      </c>
      <c r="V291" s="402">
        <v>0</v>
      </c>
      <c r="W291" s="402">
        <v>-400383.75</v>
      </c>
      <c r="X291" s="402">
        <v>0</v>
      </c>
      <c r="Y291" s="402">
        <v>0</v>
      </c>
      <c r="Z291" s="402">
        <v>-400383.75</v>
      </c>
      <c r="AA291" s="402">
        <v>-800767.5</v>
      </c>
    </row>
    <row r="292" spans="10:27" ht="15" customHeight="1" x14ac:dyDescent="0.25">
      <c r="J292" s="400" t="s">
        <v>336</v>
      </c>
      <c r="K292" s="401" t="s">
        <v>849</v>
      </c>
      <c r="L292" s="402" t="s">
        <v>850</v>
      </c>
      <c r="M292" s="402">
        <v>950863</v>
      </c>
      <c r="N292" s="402">
        <v>2188733</v>
      </c>
      <c r="O292" s="402">
        <v>0</v>
      </c>
      <c r="P292" s="402">
        <v>0</v>
      </c>
      <c r="Q292" s="402">
        <v>0</v>
      </c>
      <c r="R292" s="402">
        <v>0</v>
      </c>
      <c r="S292" s="402">
        <v>0</v>
      </c>
      <c r="T292" s="402">
        <v>0</v>
      </c>
      <c r="U292" s="402">
        <v>0</v>
      </c>
      <c r="V292" s="402">
        <v>0</v>
      </c>
      <c r="W292" s="402">
        <v>475431.5</v>
      </c>
      <c r="X292" s="402">
        <v>0</v>
      </c>
      <c r="Y292" s="402">
        <v>0</v>
      </c>
      <c r="Z292" s="402">
        <v>475431.5</v>
      </c>
      <c r="AA292" s="402">
        <v>950863</v>
      </c>
    </row>
    <row r="293" spans="10:27" ht="15" customHeight="1" x14ac:dyDescent="0.25">
      <c r="J293" s="400" t="s">
        <v>336</v>
      </c>
      <c r="K293" s="401" t="s">
        <v>851</v>
      </c>
      <c r="L293" s="402" t="s">
        <v>852</v>
      </c>
      <c r="M293" s="402">
        <v>1573637</v>
      </c>
      <c r="N293" s="402">
        <v>3019267</v>
      </c>
      <c r="O293" s="402">
        <v>0</v>
      </c>
      <c r="P293" s="402">
        <v>0</v>
      </c>
      <c r="Q293" s="402">
        <v>0</v>
      </c>
      <c r="R293" s="402">
        <v>0</v>
      </c>
      <c r="S293" s="402">
        <v>0</v>
      </c>
      <c r="T293" s="402">
        <v>0</v>
      </c>
      <c r="U293" s="402">
        <v>0</v>
      </c>
      <c r="V293" s="402">
        <v>0</v>
      </c>
      <c r="W293" s="402">
        <v>786818.5</v>
      </c>
      <c r="X293" s="402">
        <v>0</v>
      </c>
      <c r="Y293" s="402">
        <v>0</v>
      </c>
      <c r="Z293" s="402">
        <v>786818.5</v>
      </c>
      <c r="AA293" s="402">
        <v>1573637</v>
      </c>
    </row>
    <row r="294" spans="10:27" ht="15" customHeight="1" x14ac:dyDescent="0.25">
      <c r="J294" s="400" t="s">
        <v>336</v>
      </c>
      <c r="K294" s="401" t="s">
        <v>853</v>
      </c>
      <c r="L294" s="402" t="s">
        <v>854</v>
      </c>
      <c r="M294" s="402">
        <v>3228352</v>
      </c>
      <c r="N294" s="402">
        <v>6819832</v>
      </c>
      <c r="O294" s="402">
        <v>0</v>
      </c>
      <c r="P294" s="402">
        <v>0</v>
      </c>
      <c r="Q294" s="402">
        <v>0</v>
      </c>
      <c r="R294" s="402">
        <v>0</v>
      </c>
      <c r="S294" s="402">
        <v>0</v>
      </c>
      <c r="T294" s="402">
        <v>0</v>
      </c>
      <c r="U294" s="402">
        <v>0</v>
      </c>
      <c r="V294" s="402">
        <v>0</v>
      </c>
      <c r="W294" s="402">
        <v>1614176</v>
      </c>
      <c r="X294" s="402">
        <v>0</v>
      </c>
      <c r="Y294" s="402">
        <v>0</v>
      </c>
      <c r="Z294" s="402">
        <v>1614176</v>
      </c>
      <c r="AA294" s="402">
        <v>3228352</v>
      </c>
    </row>
    <row r="295" spans="10:27" ht="15" customHeight="1" x14ac:dyDescent="0.25">
      <c r="J295" s="400" t="s">
        <v>336</v>
      </c>
      <c r="K295" s="401" t="s">
        <v>855</v>
      </c>
      <c r="L295" s="402" t="s">
        <v>856</v>
      </c>
      <c r="M295" s="402">
        <v>48301.666666500001</v>
      </c>
      <c r="N295" s="402">
        <v>94299.999999599997</v>
      </c>
      <c r="O295" s="402">
        <v>0</v>
      </c>
      <c r="P295" s="402">
        <v>0</v>
      </c>
      <c r="Q295" s="402">
        <v>0</v>
      </c>
      <c r="R295" s="402">
        <v>0</v>
      </c>
      <c r="S295" s="402">
        <v>0</v>
      </c>
      <c r="T295" s="402">
        <v>0</v>
      </c>
      <c r="U295" s="402">
        <v>0</v>
      </c>
      <c r="V295" s="402">
        <v>9660.3333332999991</v>
      </c>
      <c r="W295" s="402">
        <v>9660.3333332999991</v>
      </c>
      <c r="X295" s="402">
        <v>9660.3333332999991</v>
      </c>
      <c r="Y295" s="402">
        <v>9660.3333332999991</v>
      </c>
      <c r="Z295" s="402">
        <v>9660.3333332999991</v>
      </c>
      <c r="AA295" s="402">
        <v>48301.666666500001</v>
      </c>
    </row>
    <row r="296" spans="10:27" ht="15" customHeight="1" x14ac:dyDescent="0.25">
      <c r="J296" s="400" t="s">
        <v>336</v>
      </c>
      <c r="K296" s="401" t="s">
        <v>857</v>
      </c>
      <c r="L296" s="402" t="s">
        <v>858</v>
      </c>
      <c r="M296" s="402">
        <v>3300000</v>
      </c>
      <c r="N296" s="402">
        <v>7900000</v>
      </c>
      <c r="O296" s="402">
        <v>0</v>
      </c>
      <c r="P296" s="402">
        <v>0</v>
      </c>
      <c r="Q296" s="402">
        <v>0</v>
      </c>
      <c r="R296" s="402">
        <v>0</v>
      </c>
      <c r="S296" s="402">
        <v>0</v>
      </c>
      <c r="T296" s="402">
        <v>0</v>
      </c>
      <c r="U296" s="402">
        <v>0</v>
      </c>
      <c r="V296" s="402">
        <v>625000</v>
      </c>
      <c r="W296" s="402">
        <v>625000</v>
      </c>
      <c r="X296" s="402">
        <v>625000</v>
      </c>
      <c r="Y296" s="402">
        <v>800000</v>
      </c>
      <c r="Z296" s="402">
        <v>625000</v>
      </c>
      <c r="AA296" s="402">
        <v>3300000</v>
      </c>
    </row>
    <row r="297" spans="10:27" ht="15" customHeight="1" x14ac:dyDescent="0.25">
      <c r="J297" s="400" t="s">
        <v>336</v>
      </c>
      <c r="K297" s="401" t="s">
        <v>859</v>
      </c>
      <c r="L297" s="402" t="s">
        <v>860</v>
      </c>
      <c r="M297" s="402">
        <v>4229000</v>
      </c>
      <c r="N297" s="402">
        <v>9300000</v>
      </c>
      <c r="O297" s="402">
        <v>0</v>
      </c>
      <c r="P297" s="402">
        <v>0</v>
      </c>
      <c r="Q297" s="402">
        <v>0</v>
      </c>
      <c r="R297" s="402">
        <v>0</v>
      </c>
      <c r="S297" s="402">
        <v>0</v>
      </c>
      <c r="T297" s="402">
        <v>0</v>
      </c>
      <c r="U297" s="402">
        <v>0</v>
      </c>
      <c r="V297" s="402">
        <v>742000</v>
      </c>
      <c r="W297" s="402">
        <v>742000</v>
      </c>
      <c r="X297" s="402">
        <v>742000</v>
      </c>
      <c r="Y297" s="402">
        <v>1261000</v>
      </c>
      <c r="Z297" s="402">
        <v>742000</v>
      </c>
      <c r="AA297" s="402">
        <v>4229000</v>
      </c>
    </row>
    <row r="298" spans="10:27" ht="15" customHeight="1" x14ac:dyDescent="0.25">
      <c r="J298" s="400" t="s">
        <v>336</v>
      </c>
      <c r="K298" s="401" t="s">
        <v>861</v>
      </c>
      <c r="L298" s="402" t="s">
        <v>862</v>
      </c>
      <c r="M298" s="402">
        <v>107426.5</v>
      </c>
      <c r="N298" s="402">
        <v>240481</v>
      </c>
      <c r="O298" s="402">
        <v>0</v>
      </c>
      <c r="P298" s="402">
        <v>0</v>
      </c>
      <c r="Q298" s="402">
        <v>0</v>
      </c>
      <c r="R298" s="402">
        <v>0</v>
      </c>
      <c r="S298" s="402">
        <v>0</v>
      </c>
      <c r="T298" s="402">
        <v>0</v>
      </c>
      <c r="U298" s="402">
        <v>0</v>
      </c>
      <c r="V298" s="402">
        <v>0</v>
      </c>
      <c r="W298" s="402">
        <v>53713.25</v>
      </c>
      <c r="X298" s="402">
        <v>0</v>
      </c>
      <c r="Y298" s="402">
        <v>0</v>
      </c>
      <c r="Z298" s="402">
        <v>53713.25</v>
      </c>
      <c r="AA298" s="402">
        <v>107426.5</v>
      </c>
    </row>
    <row r="299" spans="10:27" ht="15" customHeight="1" x14ac:dyDescent="0.25">
      <c r="J299" s="400" t="s">
        <v>336</v>
      </c>
      <c r="K299" s="401" t="s">
        <v>863</v>
      </c>
      <c r="L299" s="402" t="s">
        <v>864</v>
      </c>
      <c r="M299" s="402">
        <v>825000</v>
      </c>
      <c r="N299" s="402">
        <v>1800000</v>
      </c>
      <c r="O299" s="402">
        <v>0</v>
      </c>
      <c r="P299" s="402">
        <v>0</v>
      </c>
      <c r="Q299" s="402">
        <v>0</v>
      </c>
      <c r="R299" s="402">
        <v>0</v>
      </c>
      <c r="S299" s="402">
        <v>0</v>
      </c>
      <c r="T299" s="402">
        <v>0</v>
      </c>
      <c r="U299" s="402">
        <v>0</v>
      </c>
      <c r="V299" s="402">
        <v>200000</v>
      </c>
      <c r="W299" s="402">
        <v>0</v>
      </c>
      <c r="X299" s="402">
        <v>225000</v>
      </c>
      <c r="Y299" s="402">
        <v>0</v>
      </c>
      <c r="Z299" s="402">
        <v>400000</v>
      </c>
      <c r="AA299" s="402">
        <v>825000</v>
      </c>
    </row>
    <row r="300" spans="10:27" ht="15" customHeight="1" x14ac:dyDescent="0.25">
      <c r="J300" s="400" t="s">
        <v>336</v>
      </c>
      <c r="K300" s="401" t="s">
        <v>865</v>
      </c>
      <c r="L300" s="402" t="s">
        <v>866</v>
      </c>
      <c r="M300" s="402">
        <v>475000</v>
      </c>
      <c r="N300" s="402">
        <v>1140000</v>
      </c>
      <c r="O300" s="402">
        <v>0</v>
      </c>
      <c r="P300" s="402">
        <v>0</v>
      </c>
      <c r="Q300" s="402">
        <v>0</v>
      </c>
      <c r="R300" s="402">
        <v>0</v>
      </c>
      <c r="S300" s="402">
        <v>0</v>
      </c>
      <c r="T300" s="402">
        <v>0</v>
      </c>
      <c r="U300" s="402">
        <v>0</v>
      </c>
      <c r="V300" s="402">
        <v>95000</v>
      </c>
      <c r="W300" s="402">
        <v>95000</v>
      </c>
      <c r="X300" s="402">
        <v>95000</v>
      </c>
      <c r="Y300" s="402">
        <v>95000</v>
      </c>
      <c r="Z300" s="402">
        <v>95000</v>
      </c>
      <c r="AA300" s="402">
        <v>475000</v>
      </c>
    </row>
    <row r="301" spans="10:27" ht="15" customHeight="1" x14ac:dyDescent="0.25">
      <c r="J301" s="400" t="s">
        <v>336</v>
      </c>
      <c r="K301" s="401" t="s">
        <v>867</v>
      </c>
      <c r="L301" s="402" t="s">
        <v>868</v>
      </c>
      <c r="M301" s="402">
        <v>500000</v>
      </c>
      <c r="N301" s="402">
        <v>1200000</v>
      </c>
      <c r="O301" s="402">
        <v>0</v>
      </c>
      <c r="P301" s="402">
        <v>0</v>
      </c>
      <c r="Q301" s="402">
        <v>0</v>
      </c>
      <c r="R301" s="402">
        <v>0</v>
      </c>
      <c r="S301" s="402">
        <v>0</v>
      </c>
      <c r="T301" s="402">
        <v>0</v>
      </c>
      <c r="U301" s="402">
        <v>0</v>
      </c>
      <c r="V301" s="402">
        <v>100000</v>
      </c>
      <c r="W301" s="402">
        <v>100000</v>
      </c>
      <c r="X301" s="402">
        <v>100000</v>
      </c>
      <c r="Y301" s="402">
        <v>100000</v>
      </c>
      <c r="Z301" s="402">
        <v>100000</v>
      </c>
      <c r="AA301" s="402">
        <v>500000</v>
      </c>
    </row>
    <row r="302" spans="10:27" ht="15" customHeight="1" x14ac:dyDescent="0.25">
      <c r="J302" s="400" t="s">
        <v>336</v>
      </c>
      <c r="K302" s="401" t="s">
        <v>869</v>
      </c>
      <c r="L302" s="402" t="s">
        <v>870</v>
      </c>
      <c r="M302" s="402">
        <v>136130.5</v>
      </c>
      <c r="N302" s="402">
        <v>1981522</v>
      </c>
      <c r="O302" s="402">
        <v>0</v>
      </c>
      <c r="P302" s="402">
        <v>0</v>
      </c>
      <c r="Q302" s="402">
        <v>0</v>
      </c>
      <c r="R302" s="402">
        <v>0</v>
      </c>
      <c r="S302" s="402">
        <v>0</v>
      </c>
      <c r="T302" s="402">
        <v>0</v>
      </c>
      <c r="U302" s="402">
        <v>0</v>
      </c>
      <c r="V302" s="402">
        <v>0</v>
      </c>
      <c r="W302" s="402">
        <v>68065.25</v>
      </c>
      <c r="X302" s="402">
        <v>0</v>
      </c>
      <c r="Y302" s="402">
        <v>0</v>
      </c>
      <c r="Z302" s="402">
        <v>68065.25</v>
      </c>
      <c r="AA302" s="402">
        <v>136130.5</v>
      </c>
    </row>
    <row r="303" spans="10:27" ht="15" customHeight="1" x14ac:dyDescent="0.25">
      <c r="J303" s="400" t="s">
        <v>336</v>
      </c>
      <c r="K303" s="401" t="s">
        <v>871</v>
      </c>
      <c r="L303" s="402" t="s">
        <v>872</v>
      </c>
      <c r="M303" s="402">
        <v>379320.24130430003</v>
      </c>
      <c r="N303" s="402">
        <v>452226.63130429998</v>
      </c>
      <c r="O303" s="402">
        <v>0</v>
      </c>
      <c r="P303" s="402">
        <v>0</v>
      </c>
      <c r="Q303" s="402">
        <v>0</v>
      </c>
      <c r="R303" s="402">
        <v>0</v>
      </c>
      <c r="S303" s="402">
        <v>0</v>
      </c>
      <c r="T303" s="402">
        <v>0</v>
      </c>
      <c r="U303" s="402">
        <v>0</v>
      </c>
      <c r="V303" s="402">
        <v>8043.77</v>
      </c>
      <c r="W303" s="402">
        <v>16343.77</v>
      </c>
      <c r="X303" s="402">
        <v>8043.77</v>
      </c>
      <c r="Y303" s="402">
        <v>8043.77</v>
      </c>
      <c r="Z303" s="402">
        <v>338845.16130430001</v>
      </c>
      <c r="AA303" s="402">
        <v>379320.24130430003</v>
      </c>
    </row>
    <row r="304" spans="10:27" ht="15" customHeight="1" x14ac:dyDescent="0.25">
      <c r="J304" s="400" t="s">
        <v>336</v>
      </c>
      <c r="K304" s="401" t="s">
        <v>873</v>
      </c>
      <c r="L304" s="402" t="s">
        <v>874</v>
      </c>
      <c r="M304" s="402">
        <v>11674767.439999999</v>
      </c>
      <c r="N304" s="402">
        <v>26094999.999999601</v>
      </c>
      <c r="O304" s="402">
        <v>0</v>
      </c>
      <c r="P304" s="402">
        <v>0</v>
      </c>
      <c r="Q304" s="402">
        <v>0</v>
      </c>
      <c r="R304" s="402">
        <v>0</v>
      </c>
      <c r="S304" s="402">
        <v>0</v>
      </c>
      <c r="T304" s="402">
        <v>0</v>
      </c>
      <c r="U304" s="402">
        <v>0</v>
      </c>
      <c r="V304" s="402">
        <v>2054953.48</v>
      </c>
      <c r="W304" s="402">
        <v>2054953.49</v>
      </c>
      <c r="X304" s="402">
        <v>2054953.49</v>
      </c>
      <c r="Y304" s="402">
        <v>2054953.49</v>
      </c>
      <c r="Z304" s="402">
        <v>3454953.49</v>
      </c>
      <c r="AA304" s="402">
        <v>11674767.439999999</v>
      </c>
    </row>
    <row r="305" spans="10:27" ht="15" customHeight="1" x14ac:dyDescent="0.25">
      <c r="J305" s="400" t="s">
        <v>336</v>
      </c>
      <c r="K305" s="401" t="s">
        <v>875</v>
      </c>
      <c r="L305" s="402" t="s">
        <v>876</v>
      </c>
      <c r="M305" s="402">
        <v>50000</v>
      </c>
      <c r="N305" s="402">
        <v>120000</v>
      </c>
      <c r="O305" s="402">
        <v>0</v>
      </c>
      <c r="P305" s="402">
        <v>0</v>
      </c>
      <c r="Q305" s="402">
        <v>0</v>
      </c>
      <c r="R305" s="402">
        <v>0</v>
      </c>
      <c r="S305" s="402">
        <v>0</v>
      </c>
      <c r="T305" s="402">
        <v>0</v>
      </c>
      <c r="U305" s="402">
        <v>0</v>
      </c>
      <c r="V305" s="402">
        <v>10000</v>
      </c>
      <c r="W305" s="402">
        <v>10000</v>
      </c>
      <c r="X305" s="402">
        <v>10000</v>
      </c>
      <c r="Y305" s="402">
        <v>10000</v>
      </c>
      <c r="Z305" s="402">
        <v>10000</v>
      </c>
      <c r="AA305" s="402">
        <v>50000</v>
      </c>
    </row>
    <row r="306" spans="10:27" ht="15" customHeight="1" x14ac:dyDescent="0.25">
      <c r="J306" s="400" t="s">
        <v>336</v>
      </c>
      <c r="K306" s="401" t="s">
        <v>877</v>
      </c>
      <c r="L306" s="402" t="s">
        <v>878</v>
      </c>
      <c r="M306" s="402">
        <v>-182884.0949545</v>
      </c>
      <c r="N306" s="402">
        <v>-3113534.6072519999</v>
      </c>
      <c r="O306" s="402">
        <v>0</v>
      </c>
      <c r="P306" s="402">
        <v>0</v>
      </c>
      <c r="Q306" s="402">
        <v>0</v>
      </c>
      <c r="R306" s="402">
        <v>0</v>
      </c>
      <c r="S306" s="402">
        <v>0</v>
      </c>
      <c r="T306" s="402">
        <v>0</v>
      </c>
      <c r="U306" s="402">
        <v>0</v>
      </c>
      <c r="V306" s="402">
        <v>-36576.818990899999</v>
      </c>
      <c r="W306" s="402">
        <v>-36576.818990899999</v>
      </c>
      <c r="X306" s="402">
        <v>-36576.818990899999</v>
      </c>
      <c r="Y306" s="402">
        <v>-36576.818990899999</v>
      </c>
      <c r="Z306" s="402">
        <v>-36576.818990899999</v>
      </c>
      <c r="AA306" s="402">
        <v>-182884.0949545</v>
      </c>
    </row>
    <row r="307" spans="10:27" ht="15" customHeight="1" x14ac:dyDescent="0.2">
      <c r="J307" s="392" t="s">
        <v>336</v>
      </c>
      <c r="K307" s="399" t="s">
        <v>879</v>
      </c>
      <c r="L307" s="392" t="s">
        <v>880</v>
      </c>
      <c r="M307" s="393">
        <v>5989606.7525255997</v>
      </c>
      <c r="N307" s="393">
        <v>4759286.9833359998</v>
      </c>
      <c r="O307" s="393">
        <v>400533.24</v>
      </c>
      <c r="P307" s="393">
        <v>527404.47</v>
      </c>
      <c r="Q307" s="393">
        <v>573277</v>
      </c>
      <c r="R307" s="393">
        <v>513354.27</v>
      </c>
      <c r="S307" s="393">
        <v>548840.24</v>
      </c>
      <c r="T307" s="393">
        <v>480236.43</v>
      </c>
      <c r="U307" s="393">
        <v>513316.62</v>
      </c>
      <c r="V307" s="393">
        <v>398116.45322560001</v>
      </c>
      <c r="W307" s="393">
        <v>470010.9917442</v>
      </c>
      <c r="X307" s="393">
        <v>470298.39767009998</v>
      </c>
      <c r="Y307" s="393">
        <v>489911.26767009997</v>
      </c>
      <c r="Z307" s="393">
        <v>604307.37221559999</v>
      </c>
      <c r="AA307" s="393">
        <v>5989606.7525255997</v>
      </c>
    </row>
    <row r="308" spans="10:27" ht="15" customHeight="1" x14ac:dyDescent="0.25">
      <c r="J308" s="400" t="s">
        <v>336</v>
      </c>
      <c r="K308" s="401" t="s">
        <v>881</v>
      </c>
      <c r="L308" s="402" t="s">
        <v>882</v>
      </c>
      <c r="M308" s="402">
        <v>908820.49</v>
      </c>
      <c r="N308" s="402">
        <v>145362.41</v>
      </c>
      <c r="O308" s="402">
        <v>180585.98</v>
      </c>
      <c r="P308" s="402">
        <v>465192.92</v>
      </c>
      <c r="Q308" s="402">
        <v>112469.25</v>
      </c>
      <c r="R308" s="402">
        <v>50043.47</v>
      </c>
      <c r="S308" s="402">
        <v>109801.36</v>
      </c>
      <c r="T308" s="402">
        <v>-27226.19</v>
      </c>
      <c r="U308" s="402">
        <v>17953.7</v>
      </c>
      <c r="V308" s="402">
        <v>0</v>
      </c>
      <c r="W308" s="402">
        <v>0</v>
      </c>
      <c r="X308" s="402">
        <v>0</v>
      </c>
      <c r="Y308" s="402">
        <v>0</v>
      </c>
      <c r="Z308" s="402">
        <v>0</v>
      </c>
      <c r="AA308" s="402">
        <v>908820.49</v>
      </c>
    </row>
    <row r="309" spans="10:27" ht="15" customHeight="1" x14ac:dyDescent="0.25">
      <c r="J309" s="400" t="s">
        <v>336</v>
      </c>
      <c r="K309" s="401" t="s">
        <v>883</v>
      </c>
      <c r="L309" s="402" t="s">
        <v>884</v>
      </c>
      <c r="M309" s="402">
        <v>22772.95</v>
      </c>
      <c r="N309" s="402">
        <v>6000</v>
      </c>
      <c r="O309" s="402">
        <v>0</v>
      </c>
      <c r="P309" s="402">
        <v>1669.34</v>
      </c>
      <c r="Q309" s="402">
        <v>1731.79</v>
      </c>
      <c r="R309" s="402">
        <v>9395.1</v>
      </c>
      <c r="S309" s="402">
        <v>2582.7600000000002</v>
      </c>
      <c r="T309" s="402">
        <v>6620.63</v>
      </c>
      <c r="U309" s="402">
        <v>773.33</v>
      </c>
      <c r="V309" s="402">
        <v>0</v>
      </c>
      <c r="W309" s="402">
        <v>0</v>
      </c>
      <c r="X309" s="402">
        <v>0</v>
      </c>
      <c r="Y309" s="402">
        <v>0</v>
      </c>
      <c r="Z309" s="402">
        <v>0</v>
      </c>
      <c r="AA309" s="402">
        <v>22772.95</v>
      </c>
    </row>
    <row r="310" spans="10:27" ht="15" customHeight="1" x14ac:dyDescent="0.25">
      <c r="J310" s="400" t="s">
        <v>336</v>
      </c>
      <c r="K310" s="401" t="s">
        <v>885</v>
      </c>
      <c r="L310" s="402" t="s">
        <v>886</v>
      </c>
      <c r="M310" s="402">
        <v>0</v>
      </c>
      <c r="N310" s="402">
        <v>5967.64</v>
      </c>
      <c r="O310" s="402">
        <v>0</v>
      </c>
      <c r="P310" s="402">
        <v>0</v>
      </c>
      <c r="Q310" s="402">
        <v>0</v>
      </c>
      <c r="R310" s="402">
        <v>0</v>
      </c>
      <c r="S310" s="402">
        <v>0</v>
      </c>
      <c r="T310" s="402">
        <v>0</v>
      </c>
      <c r="U310" s="402">
        <v>0</v>
      </c>
      <c r="V310" s="402">
        <v>0</v>
      </c>
      <c r="W310" s="402">
        <v>0</v>
      </c>
      <c r="X310" s="402">
        <v>0</v>
      </c>
      <c r="Y310" s="402">
        <v>0</v>
      </c>
      <c r="Z310" s="402">
        <v>0</v>
      </c>
      <c r="AA310" s="402">
        <v>0</v>
      </c>
    </row>
    <row r="311" spans="10:27" ht="15" customHeight="1" x14ac:dyDescent="0.25">
      <c r="J311" s="400" t="s">
        <v>336</v>
      </c>
      <c r="K311" s="401" t="s">
        <v>887</v>
      </c>
      <c r="L311" s="402" t="s">
        <v>888</v>
      </c>
      <c r="M311" s="402">
        <v>1033827.46</v>
      </c>
      <c r="N311" s="402">
        <v>207452.40601879999</v>
      </c>
      <c r="O311" s="402">
        <v>108288.21</v>
      </c>
      <c r="P311" s="402">
        <v>136931.32</v>
      </c>
      <c r="Q311" s="402">
        <v>148140.88</v>
      </c>
      <c r="R311" s="402">
        <v>176480.89</v>
      </c>
      <c r="S311" s="402">
        <v>158226.15</v>
      </c>
      <c r="T311" s="402">
        <v>158905.89000000001</v>
      </c>
      <c r="U311" s="402">
        <v>146854.12</v>
      </c>
      <c r="V311" s="402">
        <v>0</v>
      </c>
      <c r="W311" s="402">
        <v>0</v>
      </c>
      <c r="X311" s="402">
        <v>0</v>
      </c>
      <c r="Y311" s="402">
        <v>0</v>
      </c>
      <c r="Z311" s="402">
        <v>0</v>
      </c>
      <c r="AA311" s="402">
        <v>1033827.46</v>
      </c>
    </row>
    <row r="312" spans="10:27" ht="15" customHeight="1" x14ac:dyDescent="0.25">
      <c r="J312" s="400" t="s">
        <v>336</v>
      </c>
      <c r="K312" s="401" t="s">
        <v>889</v>
      </c>
      <c r="L312" s="402" t="s">
        <v>890</v>
      </c>
      <c r="M312" s="402">
        <v>189719.5</v>
      </c>
      <c r="N312" s="402">
        <v>94514.347377600003</v>
      </c>
      <c r="O312" s="402">
        <v>14593.75</v>
      </c>
      <c r="P312" s="402">
        <v>24212.66</v>
      </c>
      <c r="Q312" s="402">
        <v>28658.01</v>
      </c>
      <c r="R312" s="402">
        <v>31718.51</v>
      </c>
      <c r="S312" s="402">
        <v>31213.68</v>
      </c>
      <c r="T312" s="402">
        <v>26454.560000000001</v>
      </c>
      <c r="U312" s="402">
        <v>32868.33</v>
      </c>
      <c r="V312" s="402">
        <v>0</v>
      </c>
      <c r="W312" s="402">
        <v>0</v>
      </c>
      <c r="X312" s="402">
        <v>0</v>
      </c>
      <c r="Y312" s="402">
        <v>0</v>
      </c>
      <c r="Z312" s="402">
        <v>0</v>
      </c>
      <c r="AA312" s="402">
        <v>189719.5</v>
      </c>
    </row>
    <row r="313" spans="10:27" ht="15" customHeight="1" x14ac:dyDescent="0.25">
      <c r="J313" s="400" t="s">
        <v>336</v>
      </c>
      <c r="K313" s="401" t="s">
        <v>891</v>
      </c>
      <c r="L313" s="402" t="s">
        <v>892</v>
      </c>
      <c r="M313" s="402">
        <v>193557.74</v>
      </c>
      <c r="N313" s="402">
        <v>9940.7290512</v>
      </c>
      <c r="O313" s="402">
        <v>12794.49</v>
      </c>
      <c r="P313" s="402">
        <v>10629.96</v>
      </c>
      <c r="Q313" s="402">
        <v>60294.720000000001</v>
      </c>
      <c r="R313" s="402">
        <v>24759.88</v>
      </c>
      <c r="S313" s="402">
        <v>26310.28</v>
      </c>
      <c r="T313" s="402">
        <v>34469.68</v>
      </c>
      <c r="U313" s="402">
        <v>24298.73</v>
      </c>
      <c r="V313" s="402">
        <v>0</v>
      </c>
      <c r="W313" s="402">
        <v>0</v>
      </c>
      <c r="X313" s="402">
        <v>0</v>
      </c>
      <c r="Y313" s="402">
        <v>0</v>
      </c>
      <c r="Z313" s="402">
        <v>0</v>
      </c>
      <c r="AA313" s="402">
        <v>193557.74</v>
      </c>
    </row>
    <row r="314" spans="10:27" ht="15" customHeight="1" x14ac:dyDescent="0.25">
      <c r="J314" s="400" t="s">
        <v>336</v>
      </c>
      <c r="K314" s="401" t="s">
        <v>893</v>
      </c>
      <c r="L314" s="402" t="s">
        <v>894</v>
      </c>
      <c r="M314" s="402">
        <v>526018.65</v>
      </c>
      <c r="N314" s="402">
        <v>489013.16417519999</v>
      </c>
      <c r="O314" s="402">
        <v>74952.63</v>
      </c>
      <c r="P314" s="402">
        <v>54474.879999999997</v>
      </c>
      <c r="Q314" s="402">
        <v>52994</v>
      </c>
      <c r="R314" s="402">
        <v>114384.05</v>
      </c>
      <c r="S314" s="402">
        <v>67318.39</v>
      </c>
      <c r="T314" s="402">
        <v>95974.37</v>
      </c>
      <c r="U314" s="402">
        <v>65920.33</v>
      </c>
      <c r="V314" s="402">
        <v>0</v>
      </c>
      <c r="W314" s="402">
        <v>0</v>
      </c>
      <c r="X314" s="402">
        <v>0</v>
      </c>
      <c r="Y314" s="402">
        <v>0</v>
      </c>
      <c r="Z314" s="402">
        <v>0</v>
      </c>
      <c r="AA314" s="402">
        <v>526018.65</v>
      </c>
    </row>
    <row r="315" spans="10:27" ht="15" customHeight="1" x14ac:dyDescent="0.25">
      <c r="J315" s="400" t="s">
        <v>336</v>
      </c>
      <c r="K315" s="401" t="s">
        <v>895</v>
      </c>
      <c r="L315" s="402" t="s">
        <v>896</v>
      </c>
      <c r="M315" s="402">
        <v>885242.86</v>
      </c>
      <c r="N315" s="402">
        <v>325612.36206960003</v>
      </c>
      <c r="O315" s="402">
        <v>44763.9</v>
      </c>
      <c r="P315" s="402">
        <v>132653.12</v>
      </c>
      <c r="Q315" s="402">
        <v>123649.01</v>
      </c>
      <c r="R315" s="402">
        <v>99724.28</v>
      </c>
      <c r="S315" s="402">
        <v>138734.81</v>
      </c>
      <c r="T315" s="402">
        <v>182497.62</v>
      </c>
      <c r="U315" s="402">
        <v>163220.12</v>
      </c>
      <c r="V315" s="402">
        <v>0</v>
      </c>
      <c r="W315" s="402">
        <v>0</v>
      </c>
      <c r="X315" s="402">
        <v>0</v>
      </c>
      <c r="Y315" s="402">
        <v>0</v>
      </c>
      <c r="Z315" s="402">
        <v>0</v>
      </c>
      <c r="AA315" s="402">
        <v>885242.86</v>
      </c>
    </row>
    <row r="316" spans="10:27" ht="15" customHeight="1" x14ac:dyDescent="0.25">
      <c r="J316" s="400" t="s">
        <v>336</v>
      </c>
      <c r="K316" s="401" t="s">
        <v>897</v>
      </c>
      <c r="L316" s="402" t="s">
        <v>898</v>
      </c>
      <c r="M316" s="402">
        <v>610473.36</v>
      </c>
      <c r="N316" s="402">
        <v>810239.0613076</v>
      </c>
      <c r="O316" s="402">
        <v>82022.66</v>
      </c>
      <c r="P316" s="402">
        <v>126812.42</v>
      </c>
      <c r="Q316" s="402">
        <v>67485.22</v>
      </c>
      <c r="R316" s="402">
        <v>44538.79</v>
      </c>
      <c r="S316" s="402">
        <v>81410.289999999994</v>
      </c>
      <c r="T316" s="402">
        <v>70814</v>
      </c>
      <c r="U316" s="402">
        <v>129639.98</v>
      </c>
      <c r="V316" s="402">
        <v>1500</v>
      </c>
      <c r="W316" s="402">
        <v>1575</v>
      </c>
      <c r="X316" s="402">
        <v>1500</v>
      </c>
      <c r="Y316" s="402">
        <v>1675</v>
      </c>
      <c r="Z316" s="402">
        <v>1500</v>
      </c>
      <c r="AA316" s="402">
        <v>610473.36</v>
      </c>
    </row>
    <row r="317" spans="10:27" ht="15" customHeight="1" x14ac:dyDescent="0.25">
      <c r="J317" s="400" t="s">
        <v>336</v>
      </c>
      <c r="K317" s="401" t="s">
        <v>899</v>
      </c>
      <c r="L317" s="402" t="s">
        <v>900</v>
      </c>
      <c r="M317" s="402">
        <v>-877415.16</v>
      </c>
      <c r="N317" s="402">
        <v>5040</v>
      </c>
      <c r="O317" s="402">
        <v>-136324.26</v>
      </c>
      <c r="P317" s="402">
        <v>-432540.2</v>
      </c>
      <c r="Q317" s="402">
        <v>-27236.37</v>
      </c>
      <c r="R317" s="402">
        <v>-48631.25</v>
      </c>
      <c r="S317" s="402">
        <v>-82961.67</v>
      </c>
      <c r="T317" s="402">
        <v>-75637.11</v>
      </c>
      <c r="U317" s="402">
        <v>-74084.3</v>
      </c>
      <c r="V317" s="402">
        <v>0</v>
      </c>
      <c r="W317" s="402">
        <v>0</v>
      </c>
      <c r="X317" s="402">
        <v>0</v>
      </c>
      <c r="Y317" s="402">
        <v>0</v>
      </c>
      <c r="Z317" s="402">
        <v>0</v>
      </c>
      <c r="AA317" s="402">
        <v>-877415.16</v>
      </c>
    </row>
    <row r="318" spans="10:27" ht="15" customHeight="1" x14ac:dyDescent="0.25">
      <c r="J318" s="400" t="s">
        <v>336</v>
      </c>
      <c r="K318" s="401" t="s">
        <v>901</v>
      </c>
      <c r="L318" s="402" t="s">
        <v>902</v>
      </c>
      <c r="M318" s="402">
        <v>204.4</v>
      </c>
      <c r="N318" s="402">
        <v>13744.4</v>
      </c>
      <c r="O318" s="402">
        <v>0</v>
      </c>
      <c r="P318" s="402">
        <v>0</v>
      </c>
      <c r="Q318" s="402">
        <v>0</v>
      </c>
      <c r="R318" s="402">
        <v>0</v>
      </c>
      <c r="S318" s="402">
        <v>0</v>
      </c>
      <c r="T318" s="402">
        <v>0</v>
      </c>
      <c r="U318" s="402">
        <v>0</v>
      </c>
      <c r="V318" s="402">
        <v>0</v>
      </c>
      <c r="W318" s="402">
        <v>0</v>
      </c>
      <c r="X318" s="402">
        <v>0</v>
      </c>
      <c r="Y318" s="402">
        <v>0</v>
      </c>
      <c r="Z318" s="402">
        <v>204.4</v>
      </c>
      <c r="AA318" s="402">
        <v>204.4</v>
      </c>
    </row>
    <row r="319" spans="10:27" ht="15" customHeight="1" x14ac:dyDescent="0.25">
      <c r="J319" s="400" t="s">
        <v>336</v>
      </c>
      <c r="K319" s="401" t="s">
        <v>903</v>
      </c>
      <c r="L319" s="402" t="s">
        <v>904</v>
      </c>
      <c r="M319" s="402">
        <v>72571.070000000007</v>
      </c>
      <c r="N319" s="402">
        <v>0</v>
      </c>
      <c r="O319" s="402">
        <v>18855.88</v>
      </c>
      <c r="P319" s="402">
        <v>7368.05</v>
      </c>
      <c r="Q319" s="402">
        <v>5090.49</v>
      </c>
      <c r="R319" s="402">
        <v>10940.55</v>
      </c>
      <c r="S319" s="402">
        <v>16204.19</v>
      </c>
      <c r="T319" s="402">
        <v>7362.98</v>
      </c>
      <c r="U319" s="402">
        <v>5872.28</v>
      </c>
      <c r="V319" s="402">
        <v>175.33</v>
      </c>
      <c r="W319" s="402">
        <v>175.33</v>
      </c>
      <c r="X319" s="402">
        <v>175.33</v>
      </c>
      <c r="Y319" s="402">
        <v>175.33</v>
      </c>
      <c r="Z319" s="402">
        <v>175.33</v>
      </c>
      <c r="AA319" s="402">
        <v>72571.070000000007</v>
      </c>
    </row>
    <row r="320" spans="10:27" ht="15" customHeight="1" x14ac:dyDescent="0.25">
      <c r="J320" s="400" t="s">
        <v>336</v>
      </c>
      <c r="K320" s="401" t="s">
        <v>905</v>
      </c>
      <c r="L320" s="402" t="s">
        <v>906</v>
      </c>
      <c r="M320" s="402">
        <v>165247.058517</v>
      </c>
      <c r="N320" s="402">
        <v>164997.70000000001</v>
      </c>
      <c r="O320" s="402">
        <v>0</v>
      </c>
      <c r="P320" s="402">
        <v>0</v>
      </c>
      <c r="Q320" s="402">
        <v>0</v>
      </c>
      <c r="R320" s="402">
        <v>0</v>
      </c>
      <c r="S320" s="402">
        <v>0</v>
      </c>
      <c r="T320" s="402">
        <v>0</v>
      </c>
      <c r="U320" s="402">
        <v>0</v>
      </c>
      <c r="V320" s="402">
        <v>23124.507703399999</v>
      </c>
      <c r="W320" s="402">
        <v>37571.967703399998</v>
      </c>
      <c r="X320" s="402">
        <v>29707.507703399999</v>
      </c>
      <c r="Y320" s="402">
        <v>37098.517703400001</v>
      </c>
      <c r="Z320" s="402">
        <v>37744.557703400002</v>
      </c>
      <c r="AA320" s="402">
        <v>165247.058517</v>
      </c>
    </row>
    <row r="321" spans="10:27" ht="15" customHeight="1" x14ac:dyDescent="0.25">
      <c r="J321" s="400" t="s">
        <v>336</v>
      </c>
      <c r="K321" s="401" t="s">
        <v>907</v>
      </c>
      <c r="L321" s="402" t="s">
        <v>908</v>
      </c>
      <c r="M321" s="402">
        <v>10000</v>
      </c>
      <c r="N321" s="402">
        <v>10987</v>
      </c>
      <c r="O321" s="402">
        <v>0</v>
      </c>
      <c r="P321" s="402">
        <v>0</v>
      </c>
      <c r="Q321" s="402">
        <v>0</v>
      </c>
      <c r="R321" s="402">
        <v>0</v>
      </c>
      <c r="S321" s="402">
        <v>0</v>
      </c>
      <c r="T321" s="402">
        <v>0</v>
      </c>
      <c r="U321" s="402">
        <v>0</v>
      </c>
      <c r="V321" s="402">
        <v>2000</v>
      </c>
      <c r="W321" s="402">
        <v>2000</v>
      </c>
      <c r="X321" s="402">
        <v>2000</v>
      </c>
      <c r="Y321" s="402">
        <v>2000</v>
      </c>
      <c r="Z321" s="402">
        <v>2000</v>
      </c>
      <c r="AA321" s="402">
        <v>10000</v>
      </c>
    </row>
    <row r="322" spans="10:27" ht="15" customHeight="1" x14ac:dyDescent="0.25">
      <c r="J322" s="400" t="s">
        <v>336</v>
      </c>
      <c r="K322" s="401" t="s">
        <v>909</v>
      </c>
      <c r="L322" s="402" t="s">
        <v>910</v>
      </c>
      <c r="M322" s="402">
        <v>1850.95</v>
      </c>
      <c r="N322" s="402">
        <v>6000</v>
      </c>
      <c r="O322" s="402">
        <v>0</v>
      </c>
      <c r="P322" s="402">
        <v>0</v>
      </c>
      <c r="Q322" s="402">
        <v>0</v>
      </c>
      <c r="R322" s="402">
        <v>0</v>
      </c>
      <c r="S322" s="402">
        <v>0</v>
      </c>
      <c r="T322" s="402">
        <v>0</v>
      </c>
      <c r="U322" s="402">
        <v>0</v>
      </c>
      <c r="V322" s="402">
        <v>166.67</v>
      </c>
      <c r="W322" s="402">
        <v>166.67</v>
      </c>
      <c r="X322" s="402">
        <v>166.67</v>
      </c>
      <c r="Y322" s="402">
        <v>366.67</v>
      </c>
      <c r="Z322" s="402">
        <v>984.27</v>
      </c>
      <c r="AA322" s="402">
        <v>1850.95</v>
      </c>
    </row>
    <row r="323" spans="10:27" ht="15" customHeight="1" x14ac:dyDescent="0.25">
      <c r="J323" s="400" t="s">
        <v>336</v>
      </c>
      <c r="K323" s="401" t="s">
        <v>911</v>
      </c>
      <c r="L323" s="402" t="s">
        <v>912</v>
      </c>
      <c r="M323" s="402">
        <v>556328.64809100004</v>
      </c>
      <c r="N323" s="402">
        <v>415619</v>
      </c>
      <c r="O323" s="402">
        <v>0</v>
      </c>
      <c r="P323" s="402">
        <v>0</v>
      </c>
      <c r="Q323" s="402">
        <v>0</v>
      </c>
      <c r="R323" s="402">
        <v>0</v>
      </c>
      <c r="S323" s="402">
        <v>0</v>
      </c>
      <c r="T323" s="402">
        <v>0</v>
      </c>
      <c r="U323" s="402">
        <v>0</v>
      </c>
      <c r="V323" s="402">
        <v>104973.8056182</v>
      </c>
      <c r="W323" s="402">
        <v>104809.90561820001</v>
      </c>
      <c r="X323" s="402">
        <v>99314.815618199995</v>
      </c>
      <c r="Y323" s="402">
        <v>116770.70561819999</v>
      </c>
      <c r="Z323" s="402">
        <v>130459.4156182</v>
      </c>
      <c r="AA323" s="402">
        <v>556328.64809100004</v>
      </c>
    </row>
    <row r="324" spans="10:27" ht="15" customHeight="1" x14ac:dyDescent="0.25">
      <c r="J324" s="400" t="s">
        <v>336</v>
      </c>
      <c r="K324" s="401" t="s">
        <v>913</v>
      </c>
      <c r="L324" s="402" t="s">
        <v>914</v>
      </c>
      <c r="M324" s="402">
        <v>58153.8798905</v>
      </c>
      <c r="N324" s="402">
        <v>73940</v>
      </c>
      <c r="O324" s="402">
        <v>0</v>
      </c>
      <c r="P324" s="402">
        <v>0</v>
      </c>
      <c r="Q324" s="402">
        <v>0</v>
      </c>
      <c r="R324" s="402">
        <v>0</v>
      </c>
      <c r="S324" s="402">
        <v>0</v>
      </c>
      <c r="T324" s="402">
        <v>0</v>
      </c>
      <c r="U324" s="402">
        <v>0</v>
      </c>
      <c r="V324" s="402">
        <v>10540.8519781</v>
      </c>
      <c r="W324" s="402">
        <v>12892.231978100001</v>
      </c>
      <c r="X324" s="402">
        <v>10280.5319781</v>
      </c>
      <c r="Y324" s="402">
        <v>10529.431978099999</v>
      </c>
      <c r="Z324" s="402">
        <v>13910.831978099999</v>
      </c>
      <c r="AA324" s="402">
        <v>58153.8798905</v>
      </c>
    </row>
    <row r="325" spans="10:27" ht="15" customHeight="1" x14ac:dyDescent="0.25">
      <c r="J325" s="400" t="s">
        <v>336</v>
      </c>
      <c r="K325" s="401" t="s">
        <v>915</v>
      </c>
      <c r="L325" s="402" t="s">
        <v>916</v>
      </c>
      <c r="M325" s="402">
        <v>28827.65</v>
      </c>
      <c r="N325" s="402">
        <v>20400</v>
      </c>
      <c r="O325" s="402">
        <v>0</v>
      </c>
      <c r="P325" s="402">
        <v>0</v>
      </c>
      <c r="Q325" s="402">
        <v>0</v>
      </c>
      <c r="R325" s="402">
        <v>0</v>
      </c>
      <c r="S325" s="402">
        <v>0</v>
      </c>
      <c r="T325" s="402">
        <v>0</v>
      </c>
      <c r="U325" s="402">
        <v>0</v>
      </c>
      <c r="V325" s="402">
        <v>5465.53</v>
      </c>
      <c r="W325" s="402">
        <v>5465.53</v>
      </c>
      <c r="X325" s="402">
        <v>6465.53</v>
      </c>
      <c r="Y325" s="402">
        <v>5465.53</v>
      </c>
      <c r="Z325" s="402">
        <v>5965.53</v>
      </c>
      <c r="AA325" s="402">
        <v>28827.65</v>
      </c>
    </row>
    <row r="326" spans="10:27" ht="15" customHeight="1" x14ac:dyDescent="0.25">
      <c r="J326" s="400" t="s">
        <v>336</v>
      </c>
      <c r="K326" s="401" t="s">
        <v>917</v>
      </c>
      <c r="L326" s="402" t="s">
        <v>918</v>
      </c>
      <c r="M326" s="402">
        <v>286932.4886175</v>
      </c>
      <c r="N326" s="402">
        <v>453904.55333359999</v>
      </c>
      <c r="O326" s="402">
        <v>0</v>
      </c>
      <c r="P326" s="402">
        <v>0</v>
      </c>
      <c r="Q326" s="402">
        <v>0</v>
      </c>
      <c r="R326" s="402">
        <v>0</v>
      </c>
      <c r="S326" s="402">
        <v>0</v>
      </c>
      <c r="T326" s="402">
        <v>0</v>
      </c>
      <c r="U326" s="402">
        <v>0</v>
      </c>
      <c r="V326" s="402">
        <v>59450.373723500001</v>
      </c>
      <c r="W326" s="402">
        <v>64990.273723500002</v>
      </c>
      <c r="X326" s="402">
        <v>56834.783723499997</v>
      </c>
      <c r="Y326" s="402">
        <v>49025.773723500002</v>
      </c>
      <c r="Z326" s="402">
        <v>56631.283723499997</v>
      </c>
      <c r="AA326" s="402">
        <v>286932.4886175</v>
      </c>
    </row>
    <row r="327" spans="10:27" ht="15" customHeight="1" x14ac:dyDescent="0.25">
      <c r="J327" s="400" t="s">
        <v>336</v>
      </c>
      <c r="K327" s="401" t="s">
        <v>919</v>
      </c>
      <c r="L327" s="402" t="s">
        <v>920</v>
      </c>
      <c r="M327" s="402">
        <v>377168.43864150002</v>
      </c>
      <c r="N327" s="402">
        <v>239686.72666680001</v>
      </c>
      <c r="O327" s="402">
        <v>0</v>
      </c>
      <c r="P327" s="402">
        <v>0</v>
      </c>
      <c r="Q327" s="402">
        <v>0</v>
      </c>
      <c r="R327" s="402">
        <v>0</v>
      </c>
      <c r="S327" s="402">
        <v>0</v>
      </c>
      <c r="T327" s="402">
        <v>0</v>
      </c>
      <c r="U327" s="402">
        <v>0</v>
      </c>
      <c r="V327" s="402">
        <v>62045.183728299999</v>
      </c>
      <c r="W327" s="402">
        <v>78451.093728299995</v>
      </c>
      <c r="X327" s="402">
        <v>75019.783728299997</v>
      </c>
      <c r="Y327" s="402">
        <v>78499.993728300004</v>
      </c>
      <c r="Z327" s="402">
        <v>83152.383728300003</v>
      </c>
      <c r="AA327" s="402">
        <v>377168.43864150002</v>
      </c>
    </row>
    <row r="328" spans="10:27" ht="15" customHeight="1" x14ac:dyDescent="0.25">
      <c r="J328" s="400" t="s">
        <v>336</v>
      </c>
      <c r="K328" s="401" t="s">
        <v>921</v>
      </c>
      <c r="L328" s="402" t="s">
        <v>922</v>
      </c>
      <c r="M328" s="402">
        <v>899377.24425910006</v>
      </c>
      <c r="N328" s="402">
        <v>1318080.8166699</v>
      </c>
      <c r="O328" s="402">
        <v>0</v>
      </c>
      <c r="P328" s="402">
        <v>0</v>
      </c>
      <c r="Q328" s="402">
        <v>0</v>
      </c>
      <c r="R328" s="402">
        <v>0</v>
      </c>
      <c r="S328" s="402">
        <v>0</v>
      </c>
      <c r="T328" s="402">
        <v>0</v>
      </c>
      <c r="U328" s="402">
        <v>0</v>
      </c>
      <c r="V328" s="402">
        <v>123301.9864814</v>
      </c>
      <c r="W328" s="402">
        <v>155300.77499999999</v>
      </c>
      <c r="X328" s="402">
        <v>181461.23092589999</v>
      </c>
      <c r="Y328" s="402">
        <v>176873.5509259</v>
      </c>
      <c r="Z328" s="402">
        <v>262439.70092590002</v>
      </c>
      <c r="AA328" s="402">
        <v>899377.24425910006</v>
      </c>
    </row>
    <row r="329" spans="10:27" ht="15" customHeight="1" x14ac:dyDescent="0.25">
      <c r="J329" s="400" t="s">
        <v>336</v>
      </c>
      <c r="K329" s="401" t="s">
        <v>923</v>
      </c>
      <c r="L329" s="402" t="s">
        <v>924</v>
      </c>
      <c r="M329" s="402">
        <v>208.35</v>
      </c>
      <c r="N329" s="402">
        <v>-109999.9999998</v>
      </c>
      <c r="O329" s="402">
        <v>0</v>
      </c>
      <c r="P329" s="402">
        <v>0</v>
      </c>
      <c r="Q329" s="402">
        <v>0</v>
      </c>
      <c r="R329" s="402">
        <v>0</v>
      </c>
      <c r="S329" s="402">
        <v>0</v>
      </c>
      <c r="T329" s="402">
        <v>0</v>
      </c>
      <c r="U329" s="402">
        <v>0</v>
      </c>
      <c r="V329" s="402">
        <v>41.67</v>
      </c>
      <c r="W329" s="402">
        <v>41.67</v>
      </c>
      <c r="X329" s="402">
        <v>41.67</v>
      </c>
      <c r="Y329" s="402">
        <v>41.67</v>
      </c>
      <c r="Z329" s="402">
        <v>41.67</v>
      </c>
      <c r="AA329" s="402">
        <v>208.35</v>
      </c>
    </row>
    <row r="330" spans="10:27" ht="15" customHeight="1" x14ac:dyDescent="0.25">
      <c r="J330" s="400" t="s">
        <v>336</v>
      </c>
      <c r="K330" s="401" t="s">
        <v>925</v>
      </c>
      <c r="L330" s="402" t="s">
        <v>926</v>
      </c>
      <c r="M330" s="402">
        <v>5975</v>
      </c>
      <c r="N330" s="402">
        <v>0</v>
      </c>
      <c r="O330" s="402">
        <v>0</v>
      </c>
      <c r="P330" s="402">
        <v>0</v>
      </c>
      <c r="Q330" s="402">
        <v>0</v>
      </c>
      <c r="R330" s="402">
        <v>0</v>
      </c>
      <c r="S330" s="402">
        <v>0</v>
      </c>
      <c r="T330" s="402">
        <v>0</v>
      </c>
      <c r="U330" s="402">
        <v>0</v>
      </c>
      <c r="V330" s="402">
        <v>795</v>
      </c>
      <c r="W330" s="402">
        <v>1795</v>
      </c>
      <c r="X330" s="402">
        <v>795</v>
      </c>
      <c r="Y330" s="402">
        <v>795</v>
      </c>
      <c r="Z330" s="402">
        <v>1795</v>
      </c>
      <c r="AA330" s="402">
        <v>5975</v>
      </c>
    </row>
    <row r="331" spans="10:27" ht="15" customHeight="1" x14ac:dyDescent="0.25">
      <c r="J331" s="400" t="s">
        <v>336</v>
      </c>
      <c r="K331" s="401" t="s">
        <v>927</v>
      </c>
      <c r="L331" s="402" t="s">
        <v>928</v>
      </c>
      <c r="M331" s="402">
        <v>33743.724509</v>
      </c>
      <c r="N331" s="402">
        <v>52784.666665500001</v>
      </c>
      <c r="O331" s="402">
        <v>0</v>
      </c>
      <c r="P331" s="402">
        <v>0</v>
      </c>
      <c r="Q331" s="402">
        <v>0</v>
      </c>
      <c r="R331" s="402">
        <v>0</v>
      </c>
      <c r="S331" s="402">
        <v>0</v>
      </c>
      <c r="T331" s="402">
        <v>0</v>
      </c>
      <c r="U331" s="402">
        <v>0</v>
      </c>
      <c r="V331" s="402">
        <v>4535.5439926999998</v>
      </c>
      <c r="W331" s="402">
        <v>4775.5439926999998</v>
      </c>
      <c r="X331" s="402">
        <v>6535.5439926999998</v>
      </c>
      <c r="Y331" s="402">
        <v>10594.0939927</v>
      </c>
      <c r="Z331" s="402">
        <v>7302.9985382000004</v>
      </c>
      <c r="AA331" s="402">
        <v>33743.724509</v>
      </c>
    </row>
    <row r="332" spans="10:27" ht="15" customHeight="1" x14ac:dyDescent="0.2">
      <c r="J332" s="392" t="s">
        <v>336</v>
      </c>
      <c r="K332" s="399" t="s">
        <v>929</v>
      </c>
      <c r="L332" s="392" t="s">
        <v>930</v>
      </c>
      <c r="M332" s="393">
        <v>19737685.193340499</v>
      </c>
      <c r="N332" s="393">
        <v>25095309.817515001</v>
      </c>
      <c r="O332" s="393">
        <v>2689911.09</v>
      </c>
      <c r="P332" s="393">
        <v>3021657.66</v>
      </c>
      <c r="Q332" s="393">
        <v>3197749.27</v>
      </c>
      <c r="R332" s="393">
        <v>1082544.1200000001</v>
      </c>
      <c r="S332" s="393">
        <v>1960797.87</v>
      </c>
      <c r="T332" s="393">
        <v>2555568.7799999998</v>
      </c>
      <c r="U332" s="393">
        <v>1385635.43</v>
      </c>
      <c r="V332" s="393">
        <v>1639923.8734345001</v>
      </c>
      <c r="W332" s="393">
        <v>392422.77155499998</v>
      </c>
      <c r="X332" s="393">
        <v>389390.82567699999</v>
      </c>
      <c r="Y332" s="393">
        <v>501160.10240550002</v>
      </c>
      <c r="Z332" s="393">
        <v>920923.40026849997</v>
      </c>
      <c r="AA332" s="393">
        <v>19737685.193340499</v>
      </c>
    </row>
    <row r="333" spans="10:27" ht="15" customHeight="1" x14ac:dyDescent="0.25">
      <c r="J333" s="400" t="s">
        <v>336</v>
      </c>
      <c r="K333" s="401" t="s">
        <v>931</v>
      </c>
      <c r="L333" s="402" t="s">
        <v>932</v>
      </c>
      <c r="M333" s="402">
        <v>6779409.8399999999</v>
      </c>
      <c r="N333" s="402">
        <v>382887.61360139999</v>
      </c>
      <c r="O333" s="402">
        <v>2030878.52</v>
      </c>
      <c r="P333" s="402">
        <v>299172.62</v>
      </c>
      <c r="Q333" s="402">
        <v>544213.99</v>
      </c>
      <c r="R333" s="402">
        <v>297863.18</v>
      </c>
      <c r="S333" s="402">
        <v>900429.36</v>
      </c>
      <c r="T333" s="402">
        <v>2632953.63</v>
      </c>
      <c r="U333" s="402">
        <v>72898.539999999994</v>
      </c>
      <c r="V333" s="402">
        <v>200</v>
      </c>
      <c r="W333" s="402">
        <v>200</v>
      </c>
      <c r="X333" s="402">
        <v>200</v>
      </c>
      <c r="Y333" s="402">
        <v>200</v>
      </c>
      <c r="Z333" s="402">
        <v>200</v>
      </c>
      <c r="AA333" s="402">
        <v>6779409.8399999999</v>
      </c>
    </row>
    <row r="334" spans="10:27" ht="15" customHeight="1" x14ac:dyDescent="0.25">
      <c r="J334" s="400" t="s">
        <v>336</v>
      </c>
      <c r="K334" s="401" t="s">
        <v>933</v>
      </c>
      <c r="L334" s="402" t="s">
        <v>934</v>
      </c>
      <c r="M334" s="402">
        <v>633488.81000000006</v>
      </c>
      <c r="N334" s="402">
        <v>282596.24680109997</v>
      </c>
      <c r="O334" s="402">
        <v>79359.12</v>
      </c>
      <c r="P334" s="402">
        <v>79754.850000000006</v>
      </c>
      <c r="Q334" s="402">
        <v>102196.84</v>
      </c>
      <c r="R334" s="402">
        <v>94703.79</v>
      </c>
      <c r="S334" s="402">
        <v>99861.6</v>
      </c>
      <c r="T334" s="402">
        <v>87704.38</v>
      </c>
      <c r="U334" s="402">
        <v>84908.23</v>
      </c>
      <c r="V334" s="402">
        <v>1000</v>
      </c>
      <c r="W334" s="402">
        <v>1000</v>
      </c>
      <c r="X334" s="402">
        <v>1000</v>
      </c>
      <c r="Y334" s="402">
        <v>1000</v>
      </c>
      <c r="Z334" s="402">
        <v>1000</v>
      </c>
      <c r="AA334" s="402">
        <v>633488.81000000006</v>
      </c>
    </row>
    <row r="335" spans="10:27" ht="15" customHeight="1" x14ac:dyDescent="0.25">
      <c r="J335" s="400" t="s">
        <v>336</v>
      </c>
      <c r="K335" s="401" t="s">
        <v>935</v>
      </c>
      <c r="L335" s="402" t="s">
        <v>936</v>
      </c>
      <c r="M335" s="402">
        <v>3764799.56</v>
      </c>
      <c r="N335" s="402">
        <v>5312961.5685559995</v>
      </c>
      <c r="O335" s="402">
        <v>580186.42000000004</v>
      </c>
      <c r="P335" s="402">
        <v>579340.93000000005</v>
      </c>
      <c r="Q335" s="402">
        <v>688789.42</v>
      </c>
      <c r="R335" s="402">
        <v>888419.27</v>
      </c>
      <c r="S335" s="402">
        <v>176796.14</v>
      </c>
      <c r="T335" s="402">
        <v>549858.68000000005</v>
      </c>
      <c r="U335" s="402">
        <v>301408.7</v>
      </c>
      <c r="V335" s="402">
        <v>0</v>
      </c>
      <c r="W335" s="402">
        <v>0</v>
      </c>
      <c r="X335" s="402">
        <v>0</v>
      </c>
      <c r="Y335" s="402">
        <v>0</v>
      </c>
      <c r="Z335" s="402">
        <v>0</v>
      </c>
      <c r="AA335" s="402">
        <v>3764799.56</v>
      </c>
    </row>
    <row r="336" spans="10:27" ht="15" customHeight="1" x14ac:dyDescent="0.25">
      <c r="J336" s="400" t="s">
        <v>336</v>
      </c>
      <c r="K336" s="401" t="s">
        <v>937</v>
      </c>
      <c r="L336" s="402" t="s">
        <v>938</v>
      </c>
      <c r="M336" s="402">
        <v>204693.4</v>
      </c>
      <c r="N336" s="402">
        <v>65195.522947099998</v>
      </c>
      <c r="O336" s="402">
        <v>34806.54</v>
      </c>
      <c r="P336" s="402">
        <v>30207.45</v>
      </c>
      <c r="Q336" s="402">
        <v>27626.73</v>
      </c>
      <c r="R336" s="402">
        <v>6203.08</v>
      </c>
      <c r="S336" s="402">
        <v>62762.59</v>
      </c>
      <c r="T336" s="402">
        <v>25317.11</v>
      </c>
      <c r="U336" s="402">
        <v>17769.900000000001</v>
      </c>
      <c r="V336" s="402">
        <v>0</v>
      </c>
      <c r="W336" s="402">
        <v>0</v>
      </c>
      <c r="X336" s="402">
        <v>0</v>
      </c>
      <c r="Y336" s="402">
        <v>0</v>
      </c>
      <c r="Z336" s="402">
        <v>0</v>
      </c>
      <c r="AA336" s="402">
        <v>204693.4</v>
      </c>
    </row>
    <row r="337" spans="10:27" ht="15" customHeight="1" x14ac:dyDescent="0.25">
      <c r="J337" s="400" t="s">
        <v>336</v>
      </c>
      <c r="K337" s="401" t="s">
        <v>939</v>
      </c>
      <c r="L337" s="402" t="s">
        <v>940</v>
      </c>
      <c r="M337" s="402">
        <v>127729.11</v>
      </c>
      <c r="N337" s="402">
        <v>90270.724080500004</v>
      </c>
      <c r="O337" s="402">
        <v>36427.379999999997</v>
      </c>
      <c r="P337" s="402">
        <v>7434.12</v>
      </c>
      <c r="Q337" s="402">
        <v>25356.36</v>
      </c>
      <c r="R337" s="402">
        <v>10894.67</v>
      </c>
      <c r="S337" s="402">
        <v>4872.41</v>
      </c>
      <c r="T337" s="402">
        <v>32844.74</v>
      </c>
      <c r="U337" s="402">
        <v>9899.43</v>
      </c>
      <c r="V337" s="402">
        <v>0</v>
      </c>
      <c r="W337" s="402">
        <v>0</v>
      </c>
      <c r="X337" s="402">
        <v>0</v>
      </c>
      <c r="Y337" s="402">
        <v>0</v>
      </c>
      <c r="Z337" s="402">
        <v>0</v>
      </c>
      <c r="AA337" s="402">
        <v>127729.11</v>
      </c>
    </row>
    <row r="338" spans="10:27" ht="15" customHeight="1" x14ac:dyDescent="0.25">
      <c r="J338" s="400" t="s">
        <v>336</v>
      </c>
      <c r="K338" s="401" t="s">
        <v>941</v>
      </c>
      <c r="L338" s="402" t="s">
        <v>942</v>
      </c>
      <c r="M338" s="402">
        <v>214267.47</v>
      </c>
      <c r="N338" s="402">
        <v>285563.83799999999</v>
      </c>
      <c r="O338" s="402">
        <v>38389.67</v>
      </c>
      <c r="P338" s="402">
        <v>15723.24</v>
      </c>
      <c r="Q338" s="402">
        <v>38164.71</v>
      </c>
      <c r="R338" s="402">
        <v>33038.04</v>
      </c>
      <c r="S338" s="402">
        <v>25690.78</v>
      </c>
      <c r="T338" s="402">
        <v>30924.35</v>
      </c>
      <c r="U338" s="402">
        <v>32336.68</v>
      </c>
      <c r="V338" s="402">
        <v>0</v>
      </c>
      <c r="W338" s="402">
        <v>0</v>
      </c>
      <c r="X338" s="402">
        <v>0</v>
      </c>
      <c r="Y338" s="402">
        <v>0</v>
      </c>
      <c r="Z338" s="402">
        <v>0</v>
      </c>
      <c r="AA338" s="402">
        <v>214267.47</v>
      </c>
    </row>
    <row r="339" spans="10:27" ht="15" customHeight="1" x14ac:dyDescent="0.25">
      <c r="J339" s="400" t="s">
        <v>336</v>
      </c>
      <c r="K339" s="401" t="s">
        <v>943</v>
      </c>
      <c r="L339" s="402" t="s">
        <v>944</v>
      </c>
      <c r="M339" s="402">
        <v>90664.17</v>
      </c>
      <c r="N339" s="402">
        <v>20060.1609063</v>
      </c>
      <c r="O339" s="402">
        <v>40989.39</v>
      </c>
      <c r="P339" s="402">
        <v>8356.0400000000009</v>
      </c>
      <c r="Q339" s="402">
        <v>10562.27</v>
      </c>
      <c r="R339" s="402">
        <v>9045.4500000000007</v>
      </c>
      <c r="S339" s="402">
        <v>3153.57</v>
      </c>
      <c r="T339" s="402">
        <v>5619.62</v>
      </c>
      <c r="U339" s="402">
        <v>4437.83</v>
      </c>
      <c r="V339" s="402">
        <v>1500</v>
      </c>
      <c r="W339" s="402">
        <v>2000</v>
      </c>
      <c r="X339" s="402">
        <v>1500</v>
      </c>
      <c r="Y339" s="402">
        <v>1500</v>
      </c>
      <c r="Z339" s="402">
        <v>2000</v>
      </c>
      <c r="AA339" s="402">
        <v>90664.17</v>
      </c>
    </row>
    <row r="340" spans="10:27" ht="15" customHeight="1" x14ac:dyDescent="0.25">
      <c r="J340" s="400" t="s">
        <v>336</v>
      </c>
      <c r="K340" s="401" t="s">
        <v>945</v>
      </c>
      <c r="L340" s="402" t="s">
        <v>946</v>
      </c>
      <c r="M340" s="402">
        <v>2009346.28</v>
      </c>
      <c r="N340" s="402">
        <v>290872.3331478</v>
      </c>
      <c r="O340" s="402">
        <v>311051.84999999998</v>
      </c>
      <c r="P340" s="402">
        <v>177617.99</v>
      </c>
      <c r="Q340" s="402">
        <v>409872.26</v>
      </c>
      <c r="R340" s="402">
        <v>312108.52</v>
      </c>
      <c r="S340" s="402">
        <v>276895.06</v>
      </c>
      <c r="T340" s="402">
        <v>309014.74</v>
      </c>
      <c r="U340" s="402">
        <v>212785.86</v>
      </c>
      <c r="V340" s="402">
        <v>0</v>
      </c>
      <c r="W340" s="402">
        <v>0</v>
      </c>
      <c r="X340" s="402">
        <v>0</v>
      </c>
      <c r="Y340" s="402">
        <v>0</v>
      </c>
      <c r="Z340" s="402">
        <v>0</v>
      </c>
      <c r="AA340" s="402">
        <v>2009346.28</v>
      </c>
    </row>
    <row r="341" spans="10:27" ht="15" customHeight="1" x14ac:dyDescent="0.25">
      <c r="J341" s="400" t="s">
        <v>336</v>
      </c>
      <c r="K341" s="401" t="s">
        <v>947</v>
      </c>
      <c r="L341" s="402" t="s">
        <v>948</v>
      </c>
      <c r="M341" s="402">
        <v>33884408.979999997</v>
      </c>
      <c r="N341" s="402">
        <v>3395277.6550003998</v>
      </c>
      <c r="O341" s="402">
        <v>3353117.65</v>
      </c>
      <c r="P341" s="402">
        <v>3778968.75</v>
      </c>
      <c r="Q341" s="402">
        <v>5903180.75</v>
      </c>
      <c r="R341" s="402">
        <v>8689557.9700000007</v>
      </c>
      <c r="S341" s="402">
        <v>4403309.22</v>
      </c>
      <c r="T341" s="402">
        <v>6044312.4000000004</v>
      </c>
      <c r="U341" s="402">
        <v>1700712.24</v>
      </c>
      <c r="V341" s="402">
        <v>2250</v>
      </c>
      <c r="W341" s="402">
        <v>2250</v>
      </c>
      <c r="X341" s="402">
        <v>2250</v>
      </c>
      <c r="Y341" s="402">
        <v>2250</v>
      </c>
      <c r="Z341" s="402">
        <v>2250</v>
      </c>
      <c r="AA341" s="402">
        <v>33884408.979999997</v>
      </c>
    </row>
    <row r="342" spans="10:27" ht="15" customHeight="1" x14ac:dyDescent="0.25">
      <c r="J342" s="400" t="s">
        <v>336</v>
      </c>
      <c r="K342" s="401" t="s">
        <v>949</v>
      </c>
      <c r="L342" s="402" t="s">
        <v>950</v>
      </c>
      <c r="M342" s="402">
        <v>1259470.58</v>
      </c>
      <c r="N342" s="402">
        <v>90270.724080500004</v>
      </c>
      <c r="O342" s="402">
        <v>170465.51</v>
      </c>
      <c r="P342" s="402">
        <v>184037.56</v>
      </c>
      <c r="Q342" s="402">
        <v>227658.23999999999</v>
      </c>
      <c r="R342" s="402">
        <v>165720.60999999999</v>
      </c>
      <c r="S342" s="402">
        <v>226205.48</v>
      </c>
      <c r="T342" s="402">
        <v>129384.09</v>
      </c>
      <c r="U342" s="402">
        <v>155999.09</v>
      </c>
      <c r="V342" s="402">
        <v>0</v>
      </c>
      <c r="W342" s="402">
        <v>0</v>
      </c>
      <c r="X342" s="402">
        <v>0</v>
      </c>
      <c r="Y342" s="402">
        <v>0</v>
      </c>
      <c r="Z342" s="402">
        <v>0</v>
      </c>
      <c r="AA342" s="402">
        <v>1259470.58</v>
      </c>
    </row>
    <row r="343" spans="10:27" ht="15" customHeight="1" x14ac:dyDescent="0.25">
      <c r="J343" s="400" t="s">
        <v>336</v>
      </c>
      <c r="K343" s="401" t="s">
        <v>951</v>
      </c>
      <c r="L343" s="402" t="s">
        <v>952</v>
      </c>
      <c r="M343" s="402">
        <v>27684.6</v>
      </c>
      <c r="N343" s="402">
        <v>8024.0643627999998</v>
      </c>
      <c r="O343" s="402">
        <v>0</v>
      </c>
      <c r="P343" s="402">
        <v>0</v>
      </c>
      <c r="Q343" s="402">
        <v>0</v>
      </c>
      <c r="R343" s="402">
        <v>0</v>
      </c>
      <c r="S343" s="402">
        <v>0</v>
      </c>
      <c r="T343" s="402">
        <v>27684.6</v>
      </c>
      <c r="U343" s="402">
        <v>0</v>
      </c>
      <c r="V343" s="402">
        <v>0</v>
      </c>
      <c r="W343" s="402">
        <v>0</v>
      </c>
      <c r="X343" s="402">
        <v>0</v>
      </c>
      <c r="Y343" s="402">
        <v>0</v>
      </c>
      <c r="Z343" s="402">
        <v>0</v>
      </c>
      <c r="AA343" s="402">
        <v>27684.6</v>
      </c>
    </row>
    <row r="344" spans="10:27" ht="15" customHeight="1" x14ac:dyDescent="0.25">
      <c r="J344" s="400" t="s">
        <v>336</v>
      </c>
      <c r="K344" s="401" t="s">
        <v>953</v>
      </c>
      <c r="L344" s="402" t="s">
        <v>954</v>
      </c>
      <c r="M344" s="402">
        <v>283624.65000000002</v>
      </c>
      <c r="N344" s="402">
        <v>12215.040226700001</v>
      </c>
      <c r="O344" s="402">
        <v>14184</v>
      </c>
      <c r="P344" s="402">
        <v>39179.93</v>
      </c>
      <c r="Q344" s="402">
        <v>54850.75</v>
      </c>
      <c r="R344" s="402">
        <v>62292.17</v>
      </c>
      <c r="S344" s="402">
        <v>46012.32</v>
      </c>
      <c r="T344" s="402">
        <v>29087.62</v>
      </c>
      <c r="U344" s="402">
        <v>37182.86</v>
      </c>
      <c r="V344" s="402">
        <v>167</v>
      </c>
      <c r="W344" s="402">
        <v>167</v>
      </c>
      <c r="X344" s="402">
        <v>167</v>
      </c>
      <c r="Y344" s="402">
        <v>167</v>
      </c>
      <c r="Z344" s="402">
        <v>167</v>
      </c>
      <c r="AA344" s="402">
        <v>283624.65000000002</v>
      </c>
    </row>
    <row r="345" spans="10:27" ht="15" customHeight="1" x14ac:dyDescent="0.25">
      <c r="J345" s="400" t="s">
        <v>336</v>
      </c>
      <c r="K345" s="401" t="s">
        <v>955</v>
      </c>
      <c r="L345" s="402" t="s">
        <v>956</v>
      </c>
      <c r="M345" s="402">
        <v>194882.37</v>
      </c>
      <c r="N345" s="402">
        <v>200000</v>
      </c>
      <c r="O345" s="402">
        <v>-5117.63</v>
      </c>
      <c r="P345" s="402">
        <v>0</v>
      </c>
      <c r="Q345" s="402">
        <v>0</v>
      </c>
      <c r="R345" s="402">
        <v>0</v>
      </c>
      <c r="S345" s="402">
        <v>0</v>
      </c>
      <c r="T345" s="402">
        <v>0</v>
      </c>
      <c r="U345" s="402">
        <v>0</v>
      </c>
      <c r="V345" s="402">
        <v>0</v>
      </c>
      <c r="W345" s="402">
        <v>0</v>
      </c>
      <c r="X345" s="402">
        <v>0</v>
      </c>
      <c r="Y345" s="402">
        <v>0</v>
      </c>
      <c r="Z345" s="402">
        <v>200000</v>
      </c>
      <c r="AA345" s="402">
        <v>194882.37</v>
      </c>
    </row>
    <row r="346" spans="10:27" ht="15" customHeight="1" x14ac:dyDescent="0.25">
      <c r="J346" s="400" t="s">
        <v>336</v>
      </c>
      <c r="K346" s="401" t="s">
        <v>957</v>
      </c>
      <c r="L346" s="402" t="s">
        <v>958</v>
      </c>
      <c r="M346" s="402">
        <v>479914.39</v>
      </c>
      <c r="N346" s="402">
        <v>631092</v>
      </c>
      <c r="O346" s="402">
        <v>61740.33</v>
      </c>
      <c r="P346" s="402">
        <v>75337.59</v>
      </c>
      <c r="Q346" s="402">
        <v>68605.929999999993</v>
      </c>
      <c r="R346" s="402">
        <v>68569.53</v>
      </c>
      <c r="S346" s="402">
        <v>68619.149999999994</v>
      </c>
      <c r="T346" s="402">
        <v>68536.33</v>
      </c>
      <c r="U346" s="402">
        <v>68505.53</v>
      </c>
      <c r="V346" s="402">
        <v>0</v>
      </c>
      <c r="W346" s="402">
        <v>0</v>
      </c>
      <c r="X346" s="402">
        <v>0</v>
      </c>
      <c r="Y346" s="402">
        <v>0</v>
      </c>
      <c r="Z346" s="402">
        <v>0</v>
      </c>
      <c r="AA346" s="402">
        <v>479914.39</v>
      </c>
    </row>
    <row r="347" spans="10:27" ht="15" customHeight="1" x14ac:dyDescent="0.25">
      <c r="J347" s="400" t="s">
        <v>336</v>
      </c>
      <c r="K347" s="401" t="s">
        <v>959</v>
      </c>
      <c r="L347" s="402" t="s">
        <v>960</v>
      </c>
      <c r="M347" s="402">
        <v>84760560.469999999</v>
      </c>
      <c r="N347" s="402">
        <v>4303890.9993457003</v>
      </c>
      <c r="O347" s="402">
        <v>13802232.02</v>
      </c>
      <c r="P347" s="402">
        <v>12128864.880000001</v>
      </c>
      <c r="Q347" s="402">
        <v>13200986.109999999</v>
      </c>
      <c r="R347" s="402">
        <v>13376468.369999999</v>
      </c>
      <c r="S347" s="402">
        <v>13869873.4</v>
      </c>
      <c r="T347" s="402">
        <v>13958098.060000001</v>
      </c>
      <c r="U347" s="402">
        <v>4424037.63</v>
      </c>
      <c r="V347" s="402">
        <v>0</v>
      </c>
      <c r="W347" s="402">
        <v>0</v>
      </c>
      <c r="X347" s="402">
        <v>0</v>
      </c>
      <c r="Y347" s="402">
        <v>0</v>
      </c>
      <c r="Z347" s="402">
        <v>0</v>
      </c>
      <c r="AA347" s="402">
        <v>84760560.469999999</v>
      </c>
    </row>
    <row r="348" spans="10:27" ht="15" customHeight="1" x14ac:dyDescent="0.25">
      <c r="J348" s="400" t="s">
        <v>336</v>
      </c>
      <c r="K348" s="401" t="s">
        <v>961</v>
      </c>
      <c r="L348" s="402" t="s">
        <v>962</v>
      </c>
      <c r="M348" s="402">
        <v>-9123.94</v>
      </c>
      <c r="N348" s="402">
        <v>0</v>
      </c>
      <c r="O348" s="402">
        <v>0</v>
      </c>
      <c r="P348" s="402">
        <v>158.63</v>
      </c>
      <c r="Q348" s="402">
        <v>-128.74</v>
      </c>
      <c r="R348" s="402">
        <v>0</v>
      </c>
      <c r="S348" s="402">
        <v>-11000.06</v>
      </c>
      <c r="T348" s="402">
        <v>0</v>
      </c>
      <c r="U348" s="402">
        <v>1846.23</v>
      </c>
      <c r="V348" s="402">
        <v>0</v>
      </c>
      <c r="W348" s="402">
        <v>0</v>
      </c>
      <c r="X348" s="402">
        <v>0</v>
      </c>
      <c r="Y348" s="402">
        <v>0</v>
      </c>
      <c r="Z348" s="402">
        <v>0</v>
      </c>
      <c r="AA348" s="402">
        <v>-9123.94</v>
      </c>
    </row>
    <row r="349" spans="10:27" ht="15" customHeight="1" x14ac:dyDescent="0.25">
      <c r="J349" s="400" t="s">
        <v>336</v>
      </c>
      <c r="K349" s="401" t="s">
        <v>963</v>
      </c>
      <c r="L349" s="402" t="s">
        <v>964</v>
      </c>
      <c r="M349" s="402">
        <v>20662.73</v>
      </c>
      <c r="N349" s="402">
        <v>0</v>
      </c>
      <c r="O349" s="402">
        <v>-25185.53</v>
      </c>
      <c r="P349" s="402">
        <v>-8257.31</v>
      </c>
      <c r="Q349" s="402">
        <v>-3534.34</v>
      </c>
      <c r="R349" s="402">
        <v>5032.96</v>
      </c>
      <c r="S349" s="402">
        <v>25135.23</v>
      </c>
      <c r="T349" s="402">
        <v>-56.01</v>
      </c>
      <c r="U349" s="402">
        <v>27527.73</v>
      </c>
      <c r="V349" s="402">
        <v>0</v>
      </c>
      <c r="W349" s="402">
        <v>0</v>
      </c>
      <c r="X349" s="402">
        <v>0</v>
      </c>
      <c r="Y349" s="402">
        <v>0</v>
      </c>
      <c r="Z349" s="402">
        <v>0</v>
      </c>
      <c r="AA349" s="402">
        <v>20662.73</v>
      </c>
    </row>
    <row r="350" spans="10:27" ht="15" customHeight="1" x14ac:dyDescent="0.25">
      <c r="J350" s="400" t="s">
        <v>336</v>
      </c>
      <c r="K350" s="401" t="s">
        <v>965</v>
      </c>
      <c r="L350" s="402" t="s">
        <v>966</v>
      </c>
      <c r="M350" s="402">
        <v>-1560218.08</v>
      </c>
      <c r="N350" s="402">
        <v>0</v>
      </c>
      <c r="O350" s="402">
        <v>-296819.31</v>
      </c>
      <c r="P350" s="402">
        <v>-50445.95</v>
      </c>
      <c r="Q350" s="402">
        <v>13895.88</v>
      </c>
      <c r="R350" s="402">
        <v>-117159.2</v>
      </c>
      <c r="S350" s="402">
        <v>-69642.42</v>
      </c>
      <c r="T350" s="402">
        <v>-852396.3</v>
      </c>
      <c r="U350" s="402">
        <v>-187650.78</v>
      </c>
      <c r="V350" s="402">
        <v>0</v>
      </c>
      <c r="W350" s="402">
        <v>0</v>
      </c>
      <c r="X350" s="402">
        <v>0</v>
      </c>
      <c r="Y350" s="402">
        <v>0</v>
      </c>
      <c r="Z350" s="402">
        <v>0</v>
      </c>
      <c r="AA350" s="402">
        <v>-1560218.08</v>
      </c>
    </row>
    <row r="351" spans="10:27" ht="15" customHeight="1" x14ac:dyDescent="0.25">
      <c r="J351" s="400" t="s">
        <v>336</v>
      </c>
      <c r="K351" s="401" t="s">
        <v>967</v>
      </c>
      <c r="L351" s="402" t="s">
        <v>968</v>
      </c>
      <c r="M351" s="402">
        <v>329729.56</v>
      </c>
      <c r="N351" s="402">
        <v>200472.8</v>
      </c>
      <c r="O351" s="402">
        <v>19887.09</v>
      </c>
      <c r="P351" s="402">
        <v>47275.18</v>
      </c>
      <c r="Q351" s="402">
        <v>-3977.23</v>
      </c>
      <c r="R351" s="402">
        <v>807569.9</v>
      </c>
      <c r="S351" s="402">
        <v>695855.04</v>
      </c>
      <c r="T351" s="402">
        <v>-2054060.22</v>
      </c>
      <c r="U351" s="402">
        <v>442619.8</v>
      </c>
      <c r="V351" s="402">
        <v>1074560</v>
      </c>
      <c r="W351" s="402">
        <v>-175000</v>
      </c>
      <c r="X351" s="402">
        <v>-175000</v>
      </c>
      <c r="Y351" s="402">
        <v>-175000</v>
      </c>
      <c r="Z351" s="402">
        <v>-175000</v>
      </c>
      <c r="AA351" s="402">
        <v>329729.56</v>
      </c>
    </row>
    <row r="352" spans="10:27" ht="15" customHeight="1" x14ac:dyDescent="0.25">
      <c r="J352" s="400" t="s">
        <v>336</v>
      </c>
      <c r="K352" s="401" t="s">
        <v>969</v>
      </c>
      <c r="L352" s="402" t="s">
        <v>970</v>
      </c>
      <c r="M352" s="402">
        <v>-117000985.73</v>
      </c>
      <c r="N352" s="402">
        <v>0</v>
      </c>
      <c r="O352" s="402">
        <v>-17556681.93</v>
      </c>
      <c r="P352" s="402">
        <v>-14371068.84</v>
      </c>
      <c r="Q352" s="402">
        <v>-18110570.66</v>
      </c>
      <c r="R352" s="402">
        <v>-23627784.190000001</v>
      </c>
      <c r="S352" s="402">
        <v>-18844031</v>
      </c>
      <c r="T352" s="402">
        <v>-18469259.039999999</v>
      </c>
      <c r="U352" s="402">
        <v>-6021590.0700000003</v>
      </c>
      <c r="V352" s="402">
        <v>0</v>
      </c>
      <c r="W352" s="402">
        <v>0</v>
      </c>
      <c r="X352" s="402">
        <v>0</v>
      </c>
      <c r="Y352" s="402">
        <v>0</v>
      </c>
      <c r="Z352" s="402">
        <v>0</v>
      </c>
      <c r="AA352" s="402">
        <v>-117000985.73</v>
      </c>
    </row>
    <row r="353" spans="10:27" ht="15" customHeight="1" x14ac:dyDescent="0.25">
      <c r="J353" s="400" t="s">
        <v>336</v>
      </c>
      <c r="K353" s="401" t="s">
        <v>971</v>
      </c>
      <c r="L353" s="402" t="s">
        <v>972</v>
      </c>
      <c r="M353" s="402">
        <v>130000</v>
      </c>
      <c r="N353" s="402">
        <v>386235.04</v>
      </c>
      <c r="O353" s="402">
        <v>0</v>
      </c>
      <c r="P353" s="402">
        <v>0</v>
      </c>
      <c r="Q353" s="402">
        <v>0</v>
      </c>
      <c r="R353" s="402">
        <v>0</v>
      </c>
      <c r="S353" s="402">
        <v>0</v>
      </c>
      <c r="T353" s="402">
        <v>0</v>
      </c>
      <c r="U353" s="402">
        <v>0</v>
      </c>
      <c r="V353" s="402">
        <v>26000</v>
      </c>
      <c r="W353" s="402">
        <v>26000</v>
      </c>
      <c r="X353" s="402">
        <v>26000</v>
      </c>
      <c r="Y353" s="402">
        <v>26000</v>
      </c>
      <c r="Z353" s="402">
        <v>26000</v>
      </c>
      <c r="AA353" s="402">
        <v>130000</v>
      </c>
    </row>
    <row r="354" spans="10:27" ht="15" customHeight="1" x14ac:dyDescent="0.25">
      <c r="J354" s="400" t="s">
        <v>336</v>
      </c>
      <c r="K354" s="401" t="s">
        <v>973</v>
      </c>
      <c r="L354" s="402" t="s">
        <v>974</v>
      </c>
      <c r="M354" s="402">
        <v>-413563.9</v>
      </c>
      <c r="N354" s="402">
        <v>311118</v>
      </c>
      <c r="O354" s="402">
        <v>0</v>
      </c>
      <c r="P354" s="402">
        <v>0</v>
      </c>
      <c r="Q354" s="402">
        <v>0</v>
      </c>
      <c r="R354" s="402">
        <v>0</v>
      </c>
      <c r="S354" s="402">
        <v>0</v>
      </c>
      <c r="T354" s="402">
        <v>0</v>
      </c>
      <c r="U354" s="402">
        <v>0</v>
      </c>
      <c r="V354" s="402">
        <v>-74817.58</v>
      </c>
      <c r="W354" s="402">
        <v>-84934.58</v>
      </c>
      <c r="X354" s="402">
        <v>-85144.58</v>
      </c>
      <c r="Y354" s="402">
        <v>-84144.58</v>
      </c>
      <c r="Z354" s="402">
        <v>-84522.58</v>
      </c>
      <c r="AA354" s="402">
        <v>-413563.9</v>
      </c>
    </row>
    <row r="355" spans="10:27" ht="15" customHeight="1" x14ac:dyDescent="0.25">
      <c r="J355" s="400" t="s">
        <v>336</v>
      </c>
      <c r="K355" s="401" t="s">
        <v>975</v>
      </c>
      <c r="L355" s="402" t="s">
        <v>976</v>
      </c>
      <c r="M355" s="402">
        <v>105536.0828955</v>
      </c>
      <c r="N355" s="402">
        <v>270908.51257159997</v>
      </c>
      <c r="O355" s="402">
        <v>0</v>
      </c>
      <c r="P355" s="402">
        <v>0</v>
      </c>
      <c r="Q355" s="402">
        <v>0</v>
      </c>
      <c r="R355" s="402">
        <v>0</v>
      </c>
      <c r="S355" s="402">
        <v>0</v>
      </c>
      <c r="T355" s="402">
        <v>0</v>
      </c>
      <c r="U355" s="402">
        <v>0</v>
      </c>
      <c r="V355" s="402">
        <v>18946.616579099998</v>
      </c>
      <c r="W355" s="402">
        <v>21910.616579099998</v>
      </c>
      <c r="X355" s="402">
        <v>20026.616579099998</v>
      </c>
      <c r="Y355" s="402">
        <v>20172.616579099998</v>
      </c>
      <c r="Z355" s="402">
        <v>24479.616579099998</v>
      </c>
      <c r="AA355" s="402">
        <v>105536.0828955</v>
      </c>
    </row>
    <row r="356" spans="10:27" ht="15" customHeight="1" x14ac:dyDescent="0.25">
      <c r="J356" s="400" t="s">
        <v>336</v>
      </c>
      <c r="K356" s="401" t="s">
        <v>977</v>
      </c>
      <c r="L356" s="402" t="s">
        <v>978</v>
      </c>
      <c r="M356" s="402">
        <v>472949.11013380002</v>
      </c>
      <c r="N356" s="402">
        <v>598483.92238710006</v>
      </c>
      <c r="O356" s="402">
        <v>0</v>
      </c>
      <c r="P356" s="402">
        <v>0</v>
      </c>
      <c r="Q356" s="402">
        <v>0</v>
      </c>
      <c r="R356" s="402">
        <v>0</v>
      </c>
      <c r="S356" s="402">
        <v>0</v>
      </c>
      <c r="T356" s="402">
        <v>0</v>
      </c>
      <c r="U356" s="402">
        <v>0</v>
      </c>
      <c r="V356" s="402">
        <v>90713.376794600001</v>
      </c>
      <c r="W356" s="402">
        <v>101573.85741329999</v>
      </c>
      <c r="X356" s="402">
        <v>91822.921535300004</v>
      </c>
      <c r="Y356" s="402">
        <v>91163.188263799995</v>
      </c>
      <c r="Z356" s="402">
        <v>97675.766126799994</v>
      </c>
      <c r="AA356" s="402">
        <v>472949.11013380002</v>
      </c>
    </row>
    <row r="357" spans="10:27" ht="15" customHeight="1" x14ac:dyDescent="0.25">
      <c r="J357" s="400" t="s">
        <v>336</v>
      </c>
      <c r="K357" s="401" t="s">
        <v>979</v>
      </c>
      <c r="L357" s="402" t="s">
        <v>980</v>
      </c>
      <c r="M357" s="402">
        <v>2660512.0595534998</v>
      </c>
      <c r="N357" s="402">
        <v>1587259.2915000001</v>
      </c>
      <c r="O357" s="402">
        <v>0</v>
      </c>
      <c r="P357" s="402">
        <v>0</v>
      </c>
      <c r="Q357" s="402">
        <v>0</v>
      </c>
      <c r="R357" s="402">
        <v>0</v>
      </c>
      <c r="S357" s="402">
        <v>0</v>
      </c>
      <c r="T357" s="402">
        <v>0</v>
      </c>
      <c r="U357" s="402">
        <v>0</v>
      </c>
      <c r="V357" s="402">
        <v>532102.41191070003</v>
      </c>
      <c r="W357" s="402">
        <v>532102.41191070003</v>
      </c>
      <c r="X357" s="402">
        <v>532102.41191070003</v>
      </c>
      <c r="Y357" s="402">
        <v>532102.41191070003</v>
      </c>
      <c r="Z357" s="402">
        <v>532102.41191070003</v>
      </c>
      <c r="AA357" s="402">
        <v>2660512.0595534998</v>
      </c>
    </row>
    <row r="358" spans="10:27" ht="15" customHeight="1" x14ac:dyDescent="0.25">
      <c r="J358" s="400" t="s">
        <v>336</v>
      </c>
      <c r="K358" s="401" t="s">
        <v>981</v>
      </c>
      <c r="L358" s="402" t="s">
        <v>982</v>
      </c>
      <c r="M358" s="402">
        <v>160741.1</v>
      </c>
      <c r="N358" s="402">
        <v>30000</v>
      </c>
      <c r="O358" s="402">
        <v>0</v>
      </c>
      <c r="P358" s="402">
        <v>0</v>
      </c>
      <c r="Q358" s="402">
        <v>0</v>
      </c>
      <c r="R358" s="402">
        <v>0</v>
      </c>
      <c r="S358" s="402">
        <v>0</v>
      </c>
      <c r="T358" s="402">
        <v>0</v>
      </c>
      <c r="U358" s="402">
        <v>0</v>
      </c>
      <c r="V358" s="402">
        <v>32148.22</v>
      </c>
      <c r="W358" s="402">
        <v>32148.22</v>
      </c>
      <c r="X358" s="402">
        <v>32148.22</v>
      </c>
      <c r="Y358" s="402">
        <v>32148.22</v>
      </c>
      <c r="Z358" s="402">
        <v>32148.22</v>
      </c>
      <c r="AA358" s="402">
        <v>160741.1</v>
      </c>
    </row>
    <row r="359" spans="10:27" ht="15" customHeight="1" x14ac:dyDescent="0.25">
      <c r="J359" s="400" t="s">
        <v>336</v>
      </c>
      <c r="K359" s="401" t="s">
        <v>983</v>
      </c>
      <c r="L359" s="402" t="s">
        <v>984</v>
      </c>
      <c r="M359" s="402">
        <v>0</v>
      </c>
      <c r="N359" s="402">
        <v>82500</v>
      </c>
      <c r="O359" s="402">
        <v>0</v>
      </c>
      <c r="P359" s="402">
        <v>0</v>
      </c>
      <c r="Q359" s="402">
        <v>0</v>
      </c>
      <c r="R359" s="402">
        <v>0</v>
      </c>
      <c r="S359" s="402">
        <v>0</v>
      </c>
      <c r="T359" s="402">
        <v>0</v>
      </c>
      <c r="U359" s="402">
        <v>0</v>
      </c>
      <c r="V359" s="402">
        <v>0</v>
      </c>
      <c r="W359" s="402">
        <v>0</v>
      </c>
      <c r="X359" s="402">
        <v>0</v>
      </c>
      <c r="Y359" s="402">
        <v>0</v>
      </c>
      <c r="Z359" s="402">
        <v>0</v>
      </c>
      <c r="AA359" s="402">
        <v>0</v>
      </c>
    </row>
    <row r="360" spans="10:27" ht="15" customHeight="1" x14ac:dyDescent="0.25">
      <c r="J360" s="400" t="s">
        <v>336</v>
      </c>
      <c r="K360" s="401" t="s">
        <v>985</v>
      </c>
      <c r="L360" s="402" t="s">
        <v>986</v>
      </c>
      <c r="M360" s="402">
        <v>73547.7</v>
      </c>
      <c r="N360" s="402">
        <v>120000</v>
      </c>
      <c r="O360" s="402">
        <v>0</v>
      </c>
      <c r="P360" s="402">
        <v>0</v>
      </c>
      <c r="Q360" s="402">
        <v>0</v>
      </c>
      <c r="R360" s="402">
        <v>0</v>
      </c>
      <c r="S360" s="402">
        <v>0</v>
      </c>
      <c r="T360" s="402">
        <v>0</v>
      </c>
      <c r="U360" s="402">
        <v>0</v>
      </c>
      <c r="V360" s="402">
        <v>14709.54</v>
      </c>
      <c r="W360" s="402">
        <v>14709.54</v>
      </c>
      <c r="X360" s="402">
        <v>14709.54</v>
      </c>
      <c r="Y360" s="402">
        <v>14709.54</v>
      </c>
      <c r="Z360" s="402">
        <v>14709.54</v>
      </c>
      <c r="AA360" s="402">
        <v>73547.7</v>
      </c>
    </row>
    <row r="361" spans="10:27" ht="15" customHeight="1" x14ac:dyDescent="0.25">
      <c r="J361" s="400" t="s">
        <v>336</v>
      </c>
      <c r="K361" s="401" t="s">
        <v>987</v>
      </c>
      <c r="L361" s="402" t="s">
        <v>988</v>
      </c>
      <c r="M361" s="402">
        <v>6100</v>
      </c>
      <c r="N361" s="402">
        <v>74135</v>
      </c>
      <c r="O361" s="402">
        <v>0</v>
      </c>
      <c r="P361" s="402">
        <v>0</v>
      </c>
      <c r="Q361" s="402">
        <v>0</v>
      </c>
      <c r="R361" s="402">
        <v>0</v>
      </c>
      <c r="S361" s="402">
        <v>0</v>
      </c>
      <c r="T361" s="402">
        <v>0</v>
      </c>
      <c r="U361" s="402">
        <v>0</v>
      </c>
      <c r="V361" s="402">
        <v>1300</v>
      </c>
      <c r="W361" s="402">
        <v>1200</v>
      </c>
      <c r="X361" s="402">
        <v>1200</v>
      </c>
      <c r="Y361" s="402">
        <v>1200</v>
      </c>
      <c r="Z361" s="402">
        <v>1200</v>
      </c>
      <c r="AA361" s="402">
        <v>6100</v>
      </c>
    </row>
    <row r="362" spans="10:27" ht="15" customHeight="1" x14ac:dyDescent="0.25">
      <c r="J362" s="400" t="s">
        <v>336</v>
      </c>
      <c r="K362" s="401" t="s">
        <v>989</v>
      </c>
      <c r="L362" s="402" t="s">
        <v>990</v>
      </c>
      <c r="M362" s="402">
        <v>6552.2</v>
      </c>
      <c r="N362" s="402">
        <v>0</v>
      </c>
      <c r="O362" s="402">
        <v>0</v>
      </c>
      <c r="P362" s="402">
        <v>0</v>
      </c>
      <c r="Q362" s="402">
        <v>0</v>
      </c>
      <c r="R362" s="402">
        <v>0</v>
      </c>
      <c r="S362" s="402">
        <v>0</v>
      </c>
      <c r="T362" s="402">
        <v>0</v>
      </c>
      <c r="U362" s="402">
        <v>0</v>
      </c>
      <c r="V362" s="402">
        <v>1310.44</v>
      </c>
      <c r="W362" s="402">
        <v>1310.44</v>
      </c>
      <c r="X362" s="402">
        <v>1310.44</v>
      </c>
      <c r="Y362" s="402">
        <v>1310.44</v>
      </c>
      <c r="Z362" s="402">
        <v>1310.44</v>
      </c>
      <c r="AA362" s="402">
        <v>6552.2</v>
      </c>
    </row>
    <row r="363" spans="10:27" ht="15" customHeight="1" x14ac:dyDescent="0.25">
      <c r="J363" s="400" t="s">
        <v>336</v>
      </c>
      <c r="K363" s="401" t="s">
        <v>991</v>
      </c>
      <c r="L363" s="402" t="s">
        <v>992</v>
      </c>
      <c r="M363" s="402">
        <v>2887743.8727326998</v>
      </c>
      <c r="N363" s="402">
        <v>5943391.7599999998</v>
      </c>
      <c r="O363" s="402">
        <v>0</v>
      </c>
      <c r="P363" s="402">
        <v>0</v>
      </c>
      <c r="Q363" s="402">
        <v>0</v>
      </c>
      <c r="R363" s="402">
        <v>0</v>
      </c>
      <c r="S363" s="402">
        <v>0</v>
      </c>
      <c r="T363" s="402">
        <v>0</v>
      </c>
      <c r="U363" s="402">
        <v>0</v>
      </c>
      <c r="V363" s="402">
        <v>519190.29854510003</v>
      </c>
      <c r="W363" s="402">
        <v>532341.71604690002</v>
      </c>
      <c r="X363" s="402">
        <v>542404.70604690001</v>
      </c>
      <c r="Y363" s="402">
        <v>646647.71604690002</v>
      </c>
      <c r="Z363" s="402">
        <v>647159.43604689999</v>
      </c>
      <c r="AA363" s="402">
        <v>2887743.8727326998</v>
      </c>
    </row>
    <row r="364" spans="10:27" ht="15" customHeight="1" x14ac:dyDescent="0.25">
      <c r="J364" s="400" t="s">
        <v>336</v>
      </c>
      <c r="K364" s="401" t="s">
        <v>993</v>
      </c>
      <c r="L364" s="402" t="s">
        <v>994</v>
      </c>
      <c r="M364" s="402">
        <v>-1075844.4519750001</v>
      </c>
      <c r="N364" s="402">
        <v>119627</v>
      </c>
      <c r="O364" s="402">
        <v>0</v>
      </c>
      <c r="P364" s="402">
        <v>0</v>
      </c>
      <c r="Q364" s="402">
        <v>0</v>
      </c>
      <c r="R364" s="402">
        <v>0</v>
      </c>
      <c r="S364" s="402">
        <v>0</v>
      </c>
      <c r="T364" s="402">
        <v>0</v>
      </c>
      <c r="U364" s="402">
        <v>0</v>
      </c>
      <c r="V364" s="402">
        <v>-214868.89039499999</v>
      </c>
      <c r="W364" s="402">
        <v>-215368.89039499999</v>
      </c>
      <c r="X364" s="402">
        <v>-214868.89039499999</v>
      </c>
      <c r="Y364" s="402">
        <v>-215368.89039499999</v>
      </c>
      <c r="Z364" s="402">
        <v>-215368.89039499999</v>
      </c>
      <c r="AA364" s="402">
        <v>-1075844.4519750001</v>
      </c>
    </row>
    <row r="365" spans="10:27" ht="15" customHeight="1" x14ac:dyDescent="0.25">
      <c r="J365" s="400" t="s">
        <v>336</v>
      </c>
      <c r="K365" s="401" t="s">
        <v>995</v>
      </c>
      <c r="L365" s="402" t="s">
        <v>996</v>
      </c>
      <c r="M365" s="402">
        <v>-1938476.15</v>
      </c>
      <c r="N365" s="402">
        <v>0</v>
      </c>
      <c r="O365" s="402">
        <v>0</v>
      </c>
      <c r="P365" s="402">
        <v>0</v>
      </c>
      <c r="Q365" s="402">
        <v>0</v>
      </c>
      <c r="R365" s="402">
        <v>0</v>
      </c>
      <c r="S365" s="402">
        <v>0</v>
      </c>
      <c r="T365" s="402">
        <v>0</v>
      </c>
      <c r="U365" s="402">
        <v>0</v>
      </c>
      <c r="V365" s="402">
        <v>-379863.23</v>
      </c>
      <c r="W365" s="402">
        <v>-394563.23</v>
      </c>
      <c r="X365" s="402">
        <v>-395813.23</v>
      </c>
      <c r="Y365" s="402">
        <v>-388273.23</v>
      </c>
      <c r="Z365" s="402">
        <v>-379963.23</v>
      </c>
      <c r="AA365" s="402">
        <v>-1938476.15</v>
      </c>
    </row>
    <row r="366" spans="10:27" ht="15" customHeight="1" x14ac:dyDescent="0.25">
      <c r="J366" s="400" t="s">
        <v>336</v>
      </c>
      <c r="K366" s="401" t="s">
        <v>997</v>
      </c>
      <c r="L366" s="402" t="s">
        <v>998</v>
      </c>
      <c r="M366" s="402">
        <v>29790</v>
      </c>
      <c r="N366" s="402">
        <v>0</v>
      </c>
      <c r="O366" s="402">
        <v>0</v>
      </c>
      <c r="P366" s="402">
        <v>0</v>
      </c>
      <c r="Q366" s="402">
        <v>0</v>
      </c>
      <c r="R366" s="402">
        <v>0</v>
      </c>
      <c r="S366" s="402">
        <v>0</v>
      </c>
      <c r="T366" s="402">
        <v>0</v>
      </c>
      <c r="U366" s="402">
        <v>0</v>
      </c>
      <c r="V366" s="402">
        <v>5958</v>
      </c>
      <c r="W366" s="402">
        <v>5958</v>
      </c>
      <c r="X366" s="402">
        <v>5958</v>
      </c>
      <c r="Y366" s="402">
        <v>5958</v>
      </c>
      <c r="Z366" s="402">
        <v>5958</v>
      </c>
      <c r="AA366" s="402">
        <v>29790</v>
      </c>
    </row>
    <row r="367" spans="10:27" ht="15" customHeight="1" x14ac:dyDescent="0.25">
      <c r="J367" s="400" t="s">
        <v>336</v>
      </c>
      <c r="K367" s="401" t="s">
        <v>999</v>
      </c>
      <c r="L367" s="402" t="s">
        <v>1000</v>
      </c>
      <c r="M367" s="402">
        <v>137088.35</v>
      </c>
      <c r="N367" s="402">
        <v>0</v>
      </c>
      <c r="O367" s="402">
        <v>0</v>
      </c>
      <c r="P367" s="402">
        <v>0</v>
      </c>
      <c r="Q367" s="402">
        <v>0</v>
      </c>
      <c r="R367" s="402">
        <v>0</v>
      </c>
      <c r="S367" s="402">
        <v>0</v>
      </c>
      <c r="T367" s="402">
        <v>0</v>
      </c>
      <c r="U367" s="402">
        <v>0</v>
      </c>
      <c r="V367" s="402">
        <v>-12582.33</v>
      </c>
      <c r="W367" s="402">
        <v>-12582.33</v>
      </c>
      <c r="X367" s="402">
        <v>-12582.33</v>
      </c>
      <c r="Y367" s="402">
        <v>-12582.33</v>
      </c>
      <c r="Z367" s="402">
        <v>187417.67</v>
      </c>
      <c r="AA367" s="402">
        <v>137088.35</v>
      </c>
    </row>
    <row r="368" spans="10:27" ht="15" customHeight="1" x14ac:dyDescent="0.2">
      <c r="J368" s="392" t="s">
        <v>336</v>
      </c>
      <c r="K368" s="399" t="s">
        <v>1001</v>
      </c>
      <c r="L368" s="392" t="s">
        <v>1002</v>
      </c>
      <c r="M368" s="393">
        <v>140980378.82846671</v>
      </c>
      <c r="N368" s="393">
        <v>34646038.728650801</v>
      </c>
      <c r="O368" s="393">
        <v>2590721.13</v>
      </c>
      <c r="P368" s="393">
        <v>2816981.44</v>
      </c>
      <c r="Q368" s="393">
        <v>2365218.46</v>
      </c>
      <c r="R368" s="393">
        <v>13343418.48</v>
      </c>
      <c r="S368" s="393">
        <v>14308695.77</v>
      </c>
      <c r="T368" s="393">
        <v>14817692.98</v>
      </c>
      <c r="U368" s="393">
        <v>17212722.43</v>
      </c>
      <c r="V368" s="393">
        <v>16350284.82</v>
      </c>
      <c r="W368" s="393">
        <v>16565000.49</v>
      </c>
      <c r="X368" s="393">
        <v>15299648.68</v>
      </c>
      <c r="Y368" s="393">
        <v>12898645</v>
      </c>
      <c r="Z368" s="393">
        <v>12411349.148466701</v>
      </c>
      <c r="AA368" s="393">
        <v>140980378.82846671</v>
      </c>
    </row>
    <row r="369" spans="10:27" ht="15" customHeight="1" x14ac:dyDescent="0.25">
      <c r="J369" s="400" t="s">
        <v>336</v>
      </c>
      <c r="K369" s="401" t="s">
        <v>1003</v>
      </c>
      <c r="L369" s="402" t="s">
        <v>1004</v>
      </c>
      <c r="M369" s="402">
        <v>47539427.880000003</v>
      </c>
      <c r="N369" s="402">
        <v>0</v>
      </c>
      <c r="O369" s="402">
        <v>0</v>
      </c>
      <c r="P369" s="402">
        <v>0</v>
      </c>
      <c r="Q369" s="402">
        <v>0</v>
      </c>
      <c r="R369" s="402">
        <v>10173889.029999999</v>
      </c>
      <c r="S369" s="402">
        <v>10884439.75</v>
      </c>
      <c r="T369" s="402">
        <v>12212305.859999999</v>
      </c>
      <c r="U369" s="402">
        <v>14268793.24</v>
      </c>
      <c r="V369" s="402">
        <v>0</v>
      </c>
      <c r="W369" s="402">
        <v>0</v>
      </c>
      <c r="X369" s="402">
        <v>0</v>
      </c>
      <c r="Y369" s="402">
        <v>0</v>
      </c>
      <c r="Z369" s="402">
        <v>0</v>
      </c>
      <c r="AA369" s="402">
        <v>47539427.880000003</v>
      </c>
    </row>
    <row r="370" spans="10:27" ht="15" customHeight="1" x14ac:dyDescent="0.25">
      <c r="J370" s="400" t="s">
        <v>336</v>
      </c>
      <c r="K370" s="401" t="s">
        <v>1005</v>
      </c>
      <c r="L370" s="402" t="s">
        <v>1006</v>
      </c>
      <c r="M370" s="402">
        <v>-144584.6</v>
      </c>
      <c r="N370" s="402">
        <v>0</v>
      </c>
      <c r="O370" s="402">
        <v>-146418.26999999999</v>
      </c>
      <c r="P370" s="402">
        <v>0</v>
      </c>
      <c r="Q370" s="402">
        <v>0</v>
      </c>
      <c r="R370" s="402">
        <v>916.67</v>
      </c>
      <c r="S370" s="402">
        <v>0</v>
      </c>
      <c r="T370" s="402">
        <v>0</v>
      </c>
      <c r="U370" s="402">
        <v>917</v>
      </c>
      <c r="V370" s="402">
        <v>0</v>
      </c>
      <c r="W370" s="402">
        <v>0</v>
      </c>
      <c r="X370" s="402">
        <v>0</v>
      </c>
      <c r="Y370" s="402">
        <v>0</v>
      </c>
      <c r="Z370" s="402">
        <v>0</v>
      </c>
      <c r="AA370" s="402">
        <v>-144584.6</v>
      </c>
    </row>
    <row r="371" spans="10:27" ht="15" customHeight="1" x14ac:dyDescent="0.25">
      <c r="J371" s="400" t="s">
        <v>336</v>
      </c>
      <c r="K371" s="401" t="s">
        <v>1007</v>
      </c>
      <c r="L371" s="402" t="s">
        <v>1008</v>
      </c>
      <c r="M371" s="402">
        <v>19403.72</v>
      </c>
      <c r="N371" s="402">
        <v>0</v>
      </c>
      <c r="O371" s="402">
        <v>2771.96</v>
      </c>
      <c r="P371" s="402">
        <v>2771.96</v>
      </c>
      <c r="Q371" s="402">
        <v>2771.96</v>
      </c>
      <c r="R371" s="402">
        <v>2771.96</v>
      </c>
      <c r="S371" s="402">
        <v>2771.96</v>
      </c>
      <c r="T371" s="402">
        <v>2771.96</v>
      </c>
      <c r="U371" s="402">
        <v>2771.96</v>
      </c>
      <c r="V371" s="402">
        <v>0</v>
      </c>
      <c r="W371" s="402">
        <v>0</v>
      </c>
      <c r="X371" s="402">
        <v>0</v>
      </c>
      <c r="Y371" s="402">
        <v>0</v>
      </c>
      <c r="Z371" s="402">
        <v>0</v>
      </c>
      <c r="AA371" s="402">
        <v>19403.72</v>
      </c>
    </row>
    <row r="372" spans="10:27" ht="15" customHeight="1" x14ac:dyDescent="0.25">
      <c r="J372" s="400" t="s">
        <v>336</v>
      </c>
      <c r="K372" s="401" t="s">
        <v>1009</v>
      </c>
      <c r="L372" s="402" t="s">
        <v>1010</v>
      </c>
      <c r="M372" s="402">
        <v>180360.85</v>
      </c>
      <c r="N372" s="402">
        <v>0</v>
      </c>
      <c r="O372" s="402">
        <v>25765.87</v>
      </c>
      <c r="P372" s="402">
        <v>25765.83</v>
      </c>
      <c r="Q372" s="402">
        <v>25765.83</v>
      </c>
      <c r="R372" s="402">
        <v>25765.83</v>
      </c>
      <c r="S372" s="402">
        <v>25765.83</v>
      </c>
      <c r="T372" s="402">
        <v>25765.83</v>
      </c>
      <c r="U372" s="402">
        <v>25765.83</v>
      </c>
      <c r="V372" s="402">
        <v>0</v>
      </c>
      <c r="W372" s="402">
        <v>0</v>
      </c>
      <c r="X372" s="402">
        <v>0</v>
      </c>
      <c r="Y372" s="402">
        <v>0</v>
      </c>
      <c r="Z372" s="402">
        <v>0</v>
      </c>
      <c r="AA372" s="402">
        <v>180360.85</v>
      </c>
    </row>
    <row r="373" spans="10:27" ht="15" customHeight="1" x14ac:dyDescent="0.25">
      <c r="J373" s="400" t="s">
        <v>336</v>
      </c>
      <c r="K373" s="401" t="s">
        <v>1011</v>
      </c>
      <c r="L373" s="402" t="s">
        <v>1012</v>
      </c>
      <c r="M373" s="402">
        <v>26668.6</v>
      </c>
      <c r="N373" s="402">
        <v>0</v>
      </c>
      <c r="O373" s="402">
        <v>3599.12</v>
      </c>
      <c r="P373" s="402">
        <v>3599.12</v>
      </c>
      <c r="Q373" s="402">
        <v>3599.12</v>
      </c>
      <c r="R373" s="402">
        <v>3599.12</v>
      </c>
      <c r="S373" s="402">
        <v>3599.12</v>
      </c>
      <c r="T373" s="402">
        <v>4336.5</v>
      </c>
      <c r="U373" s="402">
        <v>4336.5</v>
      </c>
      <c r="V373" s="402">
        <v>0</v>
      </c>
      <c r="W373" s="402">
        <v>0</v>
      </c>
      <c r="X373" s="402">
        <v>0</v>
      </c>
      <c r="Y373" s="402">
        <v>0</v>
      </c>
      <c r="Z373" s="402">
        <v>0</v>
      </c>
      <c r="AA373" s="402">
        <v>26668.6</v>
      </c>
    </row>
    <row r="374" spans="10:27" ht="15" customHeight="1" x14ac:dyDescent="0.25">
      <c r="J374" s="400" t="s">
        <v>336</v>
      </c>
      <c r="K374" s="401" t="s">
        <v>1013</v>
      </c>
      <c r="L374" s="402" t="s">
        <v>1014</v>
      </c>
      <c r="M374" s="402">
        <v>383958.98</v>
      </c>
      <c r="N374" s="402">
        <v>0</v>
      </c>
      <c r="O374" s="402">
        <v>47253</v>
      </c>
      <c r="P374" s="402">
        <v>47253</v>
      </c>
      <c r="Q374" s="402">
        <v>47253</v>
      </c>
      <c r="R374" s="402">
        <v>47253</v>
      </c>
      <c r="S374" s="402">
        <v>47253</v>
      </c>
      <c r="T374" s="402">
        <v>74000</v>
      </c>
      <c r="U374" s="402">
        <v>73693.98</v>
      </c>
      <c r="V374" s="402">
        <v>0</v>
      </c>
      <c r="W374" s="402">
        <v>0</v>
      </c>
      <c r="X374" s="402">
        <v>0</v>
      </c>
      <c r="Y374" s="402">
        <v>0</v>
      </c>
      <c r="Z374" s="402">
        <v>0</v>
      </c>
      <c r="AA374" s="402">
        <v>383958.98</v>
      </c>
    </row>
    <row r="375" spans="10:27" ht="15" customHeight="1" x14ac:dyDescent="0.25">
      <c r="J375" s="400" t="s">
        <v>336</v>
      </c>
      <c r="K375" s="401" t="s">
        <v>1015</v>
      </c>
      <c r="L375" s="402" t="s">
        <v>1016</v>
      </c>
      <c r="M375" s="402">
        <v>8799565.3699999992</v>
      </c>
      <c r="N375" s="402">
        <v>0</v>
      </c>
      <c r="O375" s="402">
        <v>1245396.22</v>
      </c>
      <c r="P375" s="402">
        <v>1246102.3700000001</v>
      </c>
      <c r="Q375" s="402">
        <v>1246102.3700000001</v>
      </c>
      <c r="R375" s="402">
        <v>1246102.3700000001</v>
      </c>
      <c r="S375" s="402">
        <v>1246102.3700000001</v>
      </c>
      <c r="T375" s="402">
        <v>1284971.6299999999</v>
      </c>
      <c r="U375" s="402">
        <v>1284788.04</v>
      </c>
      <c r="V375" s="402">
        <v>0</v>
      </c>
      <c r="W375" s="402">
        <v>0</v>
      </c>
      <c r="X375" s="402">
        <v>0</v>
      </c>
      <c r="Y375" s="402">
        <v>0</v>
      </c>
      <c r="Z375" s="402">
        <v>0</v>
      </c>
      <c r="AA375" s="402">
        <v>8799565.3699999992</v>
      </c>
    </row>
    <row r="376" spans="10:27" ht="15" customHeight="1" x14ac:dyDescent="0.25">
      <c r="J376" s="400" t="s">
        <v>336</v>
      </c>
      <c r="K376" s="401" t="s">
        <v>1017</v>
      </c>
      <c r="L376" s="402" t="s">
        <v>1018</v>
      </c>
      <c r="M376" s="402">
        <v>25019.75</v>
      </c>
      <c r="N376" s="402">
        <v>0</v>
      </c>
      <c r="O376" s="402">
        <v>3574.25</v>
      </c>
      <c r="P376" s="402">
        <v>3574.25</v>
      </c>
      <c r="Q376" s="402">
        <v>3574.25</v>
      </c>
      <c r="R376" s="402">
        <v>3574.25</v>
      </c>
      <c r="S376" s="402">
        <v>3574.25</v>
      </c>
      <c r="T376" s="402">
        <v>3574.25</v>
      </c>
      <c r="U376" s="402">
        <v>3574.25</v>
      </c>
      <c r="V376" s="402">
        <v>0</v>
      </c>
      <c r="W376" s="402">
        <v>0</v>
      </c>
      <c r="X376" s="402">
        <v>0</v>
      </c>
      <c r="Y376" s="402">
        <v>0</v>
      </c>
      <c r="Z376" s="402">
        <v>0</v>
      </c>
      <c r="AA376" s="402">
        <v>25019.75</v>
      </c>
    </row>
    <row r="377" spans="10:27" ht="15" customHeight="1" x14ac:dyDescent="0.25">
      <c r="J377" s="400" t="s">
        <v>336</v>
      </c>
      <c r="K377" s="401" t="s">
        <v>1019</v>
      </c>
      <c r="L377" s="402" t="s">
        <v>1020</v>
      </c>
      <c r="M377" s="402">
        <v>1638203.84</v>
      </c>
      <c r="N377" s="402">
        <v>0</v>
      </c>
      <c r="O377" s="402">
        <v>327473</v>
      </c>
      <c r="P377" s="402">
        <v>327473</v>
      </c>
      <c r="Q377" s="402">
        <v>-221502.31</v>
      </c>
      <c r="R377" s="402">
        <v>327473</v>
      </c>
      <c r="S377" s="402">
        <v>327473</v>
      </c>
      <c r="T377" s="402">
        <v>222341.15</v>
      </c>
      <c r="U377" s="402">
        <v>327473</v>
      </c>
      <c r="V377" s="402">
        <v>0</v>
      </c>
      <c r="W377" s="402">
        <v>0</v>
      </c>
      <c r="X377" s="402">
        <v>0</v>
      </c>
      <c r="Y377" s="402">
        <v>0</v>
      </c>
      <c r="Z377" s="402">
        <v>0</v>
      </c>
      <c r="AA377" s="402">
        <v>1638203.84</v>
      </c>
    </row>
    <row r="378" spans="10:27" ht="15" customHeight="1" x14ac:dyDescent="0.25">
      <c r="J378" s="400" t="s">
        <v>336</v>
      </c>
      <c r="K378" s="401" t="s">
        <v>1021</v>
      </c>
      <c r="L378" s="402" t="s">
        <v>1022</v>
      </c>
      <c r="M378" s="402">
        <v>35891.65</v>
      </c>
      <c r="N378" s="402">
        <v>0</v>
      </c>
      <c r="O378" s="402">
        <v>4898.33</v>
      </c>
      <c r="P378" s="402">
        <v>4898.33</v>
      </c>
      <c r="Q378" s="402">
        <v>4898.33</v>
      </c>
      <c r="R378" s="402">
        <v>4898.33</v>
      </c>
      <c r="S378" s="402">
        <v>4898.33</v>
      </c>
      <c r="T378" s="402">
        <v>5400</v>
      </c>
      <c r="U378" s="402">
        <v>6000</v>
      </c>
      <c r="V378" s="402">
        <v>0</v>
      </c>
      <c r="W378" s="402">
        <v>0</v>
      </c>
      <c r="X378" s="402">
        <v>0</v>
      </c>
      <c r="Y378" s="402">
        <v>0</v>
      </c>
      <c r="Z378" s="402">
        <v>0</v>
      </c>
      <c r="AA378" s="402">
        <v>35891.65</v>
      </c>
    </row>
    <row r="379" spans="10:27" ht="15" customHeight="1" x14ac:dyDescent="0.25">
      <c r="J379" s="400" t="s">
        <v>336</v>
      </c>
      <c r="K379" s="401" t="s">
        <v>1023</v>
      </c>
      <c r="L379" s="402" t="s">
        <v>1024</v>
      </c>
      <c r="M379" s="402">
        <v>6598674.2300000004</v>
      </c>
      <c r="N379" s="402">
        <v>0</v>
      </c>
      <c r="O379" s="402">
        <v>781934.9</v>
      </c>
      <c r="P379" s="402">
        <v>849147.52</v>
      </c>
      <c r="Q379" s="402">
        <v>893461.74</v>
      </c>
      <c r="R379" s="402">
        <v>950333.87</v>
      </c>
      <c r="S379" s="402">
        <v>1464403.68</v>
      </c>
      <c r="T379" s="402">
        <v>780834.23</v>
      </c>
      <c r="U379" s="402">
        <v>878558.29</v>
      </c>
      <c r="V379" s="402">
        <v>0</v>
      </c>
      <c r="W379" s="402">
        <v>0</v>
      </c>
      <c r="X379" s="402">
        <v>0</v>
      </c>
      <c r="Y379" s="402">
        <v>0</v>
      </c>
      <c r="Z379" s="402">
        <v>0</v>
      </c>
      <c r="AA379" s="402">
        <v>6598674.2300000004</v>
      </c>
    </row>
    <row r="380" spans="10:27" ht="15" customHeight="1" x14ac:dyDescent="0.25">
      <c r="J380" s="400" t="s">
        <v>336</v>
      </c>
      <c r="K380" s="401" t="s">
        <v>1025</v>
      </c>
      <c r="L380" s="402" t="s">
        <v>1026</v>
      </c>
      <c r="M380" s="402">
        <v>140924.45000000001</v>
      </c>
      <c r="N380" s="402">
        <v>0</v>
      </c>
      <c r="O380" s="402">
        <v>20124.490000000002</v>
      </c>
      <c r="P380" s="402">
        <v>20124.490000000002</v>
      </c>
      <c r="Q380" s="402">
        <v>20124.490000000002</v>
      </c>
      <c r="R380" s="402">
        <v>20124.490000000002</v>
      </c>
      <c r="S380" s="402">
        <v>20124.490000000002</v>
      </c>
      <c r="T380" s="402">
        <v>22150</v>
      </c>
      <c r="U380" s="402">
        <v>18152</v>
      </c>
      <c r="V380" s="402">
        <v>0</v>
      </c>
      <c r="W380" s="402">
        <v>0</v>
      </c>
      <c r="X380" s="402">
        <v>0</v>
      </c>
      <c r="Y380" s="402">
        <v>0</v>
      </c>
      <c r="Z380" s="402">
        <v>0</v>
      </c>
      <c r="AA380" s="402">
        <v>140924.45000000001</v>
      </c>
    </row>
    <row r="381" spans="10:27" ht="15" customHeight="1" x14ac:dyDescent="0.25">
      <c r="J381" s="400" t="s">
        <v>336</v>
      </c>
      <c r="K381" s="401" t="s">
        <v>1027</v>
      </c>
      <c r="L381" s="402" t="s">
        <v>1028</v>
      </c>
      <c r="M381" s="402">
        <v>2501.92</v>
      </c>
      <c r="N381" s="402">
        <v>0</v>
      </c>
      <c r="O381" s="402">
        <v>357.4</v>
      </c>
      <c r="P381" s="402">
        <v>357.42</v>
      </c>
      <c r="Q381" s="402">
        <v>357.42</v>
      </c>
      <c r="R381" s="402">
        <v>357.42</v>
      </c>
      <c r="S381" s="402">
        <v>357.42</v>
      </c>
      <c r="T381" s="402">
        <v>357.42</v>
      </c>
      <c r="U381" s="402">
        <v>357.42</v>
      </c>
      <c r="V381" s="402">
        <v>0</v>
      </c>
      <c r="W381" s="402">
        <v>0</v>
      </c>
      <c r="X381" s="402">
        <v>0</v>
      </c>
      <c r="Y381" s="402">
        <v>0</v>
      </c>
      <c r="Z381" s="402">
        <v>0</v>
      </c>
      <c r="AA381" s="402">
        <v>2501.92</v>
      </c>
    </row>
    <row r="382" spans="10:27" ht="15" customHeight="1" x14ac:dyDescent="0.25">
      <c r="J382" s="400" t="s">
        <v>336</v>
      </c>
      <c r="K382" s="401" t="s">
        <v>1029</v>
      </c>
      <c r="L382" s="402" t="s">
        <v>1030</v>
      </c>
      <c r="M382" s="402">
        <v>-600</v>
      </c>
      <c r="N382" s="402">
        <v>0</v>
      </c>
      <c r="O382" s="402">
        <v>0</v>
      </c>
      <c r="P382" s="402">
        <v>0</v>
      </c>
      <c r="Q382" s="402">
        <v>0</v>
      </c>
      <c r="R382" s="402">
        <v>100</v>
      </c>
      <c r="S382" s="402">
        <v>-700</v>
      </c>
      <c r="T382" s="402">
        <v>0</v>
      </c>
      <c r="U382" s="402">
        <v>0</v>
      </c>
      <c r="V382" s="402">
        <v>0</v>
      </c>
      <c r="W382" s="402">
        <v>0</v>
      </c>
      <c r="X382" s="402">
        <v>0</v>
      </c>
      <c r="Y382" s="402">
        <v>0</v>
      </c>
      <c r="Z382" s="402">
        <v>0</v>
      </c>
      <c r="AA382" s="402">
        <v>-600</v>
      </c>
    </row>
    <row r="383" spans="10:27" ht="15" customHeight="1" x14ac:dyDescent="0.25">
      <c r="J383" s="400" t="s">
        <v>336</v>
      </c>
      <c r="K383" s="401" t="s">
        <v>1031</v>
      </c>
      <c r="L383" s="402" t="s">
        <v>1032</v>
      </c>
      <c r="M383" s="402">
        <v>747.17</v>
      </c>
      <c r="N383" s="402">
        <v>0</v>
      </c>
      <c r="O383" s="402">
        <v>0</v>
      </c>
      <c r="P383" s="402">
        <v>0</v>
      </c>
      <c r="Q383" s="402">
        <v>272.60000000000002</v>
      </c>
      <c r="R383" s="402">
        <v>154.41</v>
      </c>
      <c r="S383" s="402">
        <v>106.72</v>
      </c>
      <c r="T383" s="402">
        <v>106.72</v>
      </c>
      <c r="U383" s="402">
        <v>106.72</v>
      </c>
      <c r="V383" s="402">
        <v>0</v>
      </c>
      <c r="W383" s="402">
        <v>0</v>
      </c>
      <c r="X383" s="402">
        <v>0</v>
      </c>
      <c r="Y383" s="402">
        <v>0</v>
      </c>
      <c r="Z383" s="402">
        <v>0</v>
      </c>
      <c r="AA383" s="402">
        <v>747.17</v>
      </c>
    </row>
    <row r="384" spans="10:27" ht="15" customHeight="1" x14ac:dyDescent="0.25">
      <c r="J384" s="400" t="s">
        <v>336</v>
      </c>
      <c r="K384" s="401" t="s">
        <v>1033</v>
      </c>
      <c r="L384" s="402" t="s">
        <v>1034</v>
      </c>
      <c r="M384" s="402">
        <v>316326.86</v>
      </c>
      <c r="N384" s="402">
        <v>0</v>
      </c>
      <c r="O384" s="402">
        <v>43812.47</v>
      </c>
      <c r="P384" s="402">
        <v>43812.47</v>
      </c>
      <c r="Q384" s="402">
        <v>43812.47</v>
      </c>
      <c r="R384" s="402">
        <v>58580.98</v>
      </c>
      <c r="S384" s="402">
        <v>43812.47</v>
      </c>
      <c r="T384" s="402">
        <v>48200</v>
      </c>
      <c r="U384" s="402">
        <v>34296</v>
      </c>
      <c r="V384" s="402">
        <v>0</v>
      </c>
      <c r="W384" s="402">
        <v>0</v>
      </c>
      <c r="X384" s="402">
        <v>0</v>
      </c>
      <c r="Y384" s="402">
        <v>0</v>
      </c>
      <c r="Z384" s="402">
        <v>0</v>
      </c>
      <c r="AA384" s="402">
        <v>316326.86</v>
      </c>
    </row>
    <row r="385" spans="10:27" ht="15" customHeight="1" x14ac:dyDescent="0.25">
      <c r="J385" s="400" t="s">
        <v>336</v>
      </c>
      <c r="K385" s="401" t="s">
        <v>1035</v>
      </c>
      <c r="L385" s="402" t="s">
        <v>1036</v>
      </c>
      <c r="M385" s="402">
        <v>1641220.08</v>
      </c>
      <c r="N385" s="402">
        <v>0</v>
      </c>
      <c r="O385" s="402">
        <v>200551.26</v>
      </c>
      <c r="P385" s="402">
        <v>200551.26</v>
      </c>
      <c r="Q385" s="402">
        <v>258333.37</v>
      </c>
      <c r="R385" s="402">
        <v>441666.63</v>
      </c>
      <c r="S385" s="402">
        <v>200000</v>
      </c>
      <c r="T385" s="402">
        <v>92094.05</v>
      </c>
      <c r="U385" s="402">
        <v>248023.51</v>
      </c>
      <c r="V385" s="402">
        <v>0</v>
      </c>
      <c r="W385" s="402">
        <v>0</v>
      </c>
      <c r="X385" s="402">
        <v>0</v>
      </c>
      <c r="Y385" s="402">
        <v>0</v>
      </c>
      <c r="Z385" s="402">
        <v>0</v>
      </c>
      <c r="AA385" s="402">
        <v>1641220.08</v>
      </c>
    </row>
    <row r="386" spans="10:27" ht="15" customHeight="1" x14ac:dyDescent="0.25">
      <c r="J386" s="400" t="s">
        <v>336</v>
      </c>
      <c r="K386" s="401" t="s">
        <v>1037</v>
      </c>
      <c r="L386" s="402" t="s">
        <v>1038</v>
      </c>
      <c r="M386" s="402">
        <v>285114.69</v>
      </c>
      <c r="N386" s="402">
        <v>0</v>
      </c>
      <c r="O386" s="402">
        <v>29627.13</v>
      </c>
      <c r="P386" s="402">
        <v>41550.42</v>
      </c>
      <c r="Q386" s="402">
        <v>36393.82</v>
      </c>
      <c r="R386" s="402">
        <v>35857.120000000003</v>
      </c>
      <c r="S386" s="402">
        <v>34713.379999999997</v>
      </c>
      <c r="T386" s="402">
        <v>38483.379999999997</v>
      </c>
      <c r="U386" s="402">
        <v>68489.440000000002</v>
      </c>
      <c r="V386" s="402">
        <v>0</v>
      </c>
      <c r="W386" s="402">
        <v>0</v>
      </c>
      <c r="X386" s="402">
        <v>0</v>
      </c>
      <c r="Y386" s="402">
        <v>0</v>
      </c>
      <c r="Z386" s="402">
        <v>0</v>
      </c>
      <c r="AA386" s="402">
        <v>285114.69</v>
      </c>
    </row>
    <row r="387" spans="10:27" ht="15" customHeight="1" x14ac:dyDescent="0.25">
      <c r="J387" s="400" t="s">
        <v>336</v>
      </c>
      <c r="K387" s="401" t="s">
        <v>1039</v>
      </c>
      <c r="L387" s="402" t="s">
        <v>1040</v>
      </c>
      <c r="M387" s="402">
        <v>-33374.75</v>
      </c>
      <c r="N387" s="402">
        <v>0</v>
      </c>
      <c r="O387" s="402">
        <v>0</v>
      </c>
      <c r="P387" s="402">
        <v>0</v>
      </c>
      <c r="Q387" s="402">
        <v>0</v>
      </c>
      <c r="R387" s="402">
        <v>0</v>
      </c>
      <c r="S387" s="402">
        <v>0</v>
      </c>
      <c r="T387" s="402">
        <v>0</v>
      </c>
      <c r="U387" s="402">
        <v>-33374.75</v>
      </c>
      <c r="V387" s="402">
        <v>0</v>
      </c>
      <c r="W387" s="402">
        <v>0</v>
      </c>
      <c r="X387" s="402">
        <v>0</v>
      </c>
      <c r="Y387" s="402">
        <v>0</v>
      </c>
      <c r="Z387" s="402">
        <v>0</v>
      </c>
      <c r="AA387" s="402">
        <v>-33374.75</v>
      </c>
    </row>
    <row r="388" spans="10:27" ht="15" customHeight="1" x14ac:dyDescent="0.25">
      <c r="J388" s="400" t="s">
        <v>336</v>
      </c>
      <c r="K388" s="401" t="s">
        <v>1041</v>
      </c>
      <c r="L388" s="402" t="s">
        <v>1042</v>
      </c>
      <c r="M388" s="402">
        <v>58244923.600000001</v>
      </c>
      <c r="N388" s="402">
        <v>0</v>
      </c>
      <c r="O388" s="402">
        <v>0</v>
      </c>
      <c r="P388" s="402">
        <v>0</v>
      </c>
      <c r="Q388" s="402">
        <v>0</v>
      </c>
      <c r="R388" s="402">
        <v>0</v>
      </c>
      <c r="S388" s="402">
        <v>0</v>
      </c>
      <c r="T388" s="402">
        <v>0</v>
      </c>
      <c r="U388" s="402">
        <v>0</v>
      </c>
      <c r="V388" s="402">
        <v>13277800.42</v>
      </c>
      <c r="W388" s="402">
        <v>13597829.01</v>
      </c>
      <c r="X388" s="402">
        <v>12332477.199999999</v>
      </c>
      <c r="Y388" s="402">
        <v>9931473.5199999996</v>
      </c>
      <c r="Z388" s="402">
        <v>9105343.4499999993</v>
      </c>
      <c r="AA388" s="402">
        <v>58244923.600000001</v>
      </c>
    </row>
    <row r="389" spans="10:27" ht="15" customHeight="1" x14ac:dyDescent="0.25">
      <c r="J389" s="400" t="s">
        <v>336</v>
      </c>
      <c r="K389" s="401" t="s">
        <v>1043</v>
      </c>
      <c r="L389" s="402" t="s">
        <v>1044</v>
      </c>
      <c r="M389" s="402">
        <v>541905.49179999996</v>
      </c>
      <c r="N389" s="402">
        <v>541905.49179999996</v>
      </c>
      <c r="O389" s="402">
        <v>0</v>
      </c>
      <c r="P389" s="402">
        <v>0</v>
      </c>
      <c r="Q389" s="402">
        <v>0</v>
      </c>
      <c r="R389" s="402">
        <v>0</v>
      </c>
      <c r="S389" s="402">
        <v>0</v>
      </c>
      <c r="T389" s="402">
        <v>0</v>
      </c>
      <c r="U389" s="402">
        <v>0</v>
      </c>
      <c r="V389" s="402">
        <v>0</v>
      </c>
      <c r="W389" s="402">
        <v>0</v>
      </c>
      <c r="X389" s="402">
        <v>0</v>
      </c>
      <c r="Y389" s="402">
        <v>0</v>
      </c>
      <c r="Z389" s="402">
        <v>541905.49179999996</v>
      </c>
      <c r="AA389" s="402">
        <v>541905.49179999996</v>
      </c>
    </row>
    <row r="390" spans="10:27" ht="15" customHeight="1" x14ac:dyDescent="0.25">
      <c r="J390" s="400" t="s">
        <v>336</v>
      </c>
      <c r="K390" s="401" t="s">
        <v>1045</v>
      </c>
      <c r="L390" s="402" t="s">
        <v>1046</v>
      </c>
      <c r="M390" s="402">
        <v>13859.8</v>
      </c>
      <c r="N390" s="402">
        <v>50971.53</v>
      </c>
      <c r="O390" s="402">
        <v>0</v>
      </c>
      <c r="P390" s="402">
        <v>0</v>
      </c>
      <c r="Q390" s="402">
        <v>0</v>
      </c>
      <c r="R390" s="402">
        <v>0</v>
      </c>
      <c r="S390" s="402">
        <v>0</v>
      </c>
      <c r="T390" s="402">
        <v>0</v>
      </c>
      <c r="U390" s="402">
        <v>0</v>
      </c>
      <c r="V390" s="402">
        <v>2771.96</v>
      </c>
      <c r="W390" s="402">
        <v>2771.96</v>
      </c>
      <c r="X390" s="402">
        <v>2771.96</v>
      </c>
      <c r="Y390" s="402">
        <v>2771.96</v>
      </c>
      <c r="Z390" s="402">
        <v>2771.96</v>
      </c>
      <c r="AA390" s="402">
        <v>13859.8</v>
      </c>
    </row>
    <row r="391" spans="10:27" ht="15" customHeight="1" x14ac:dyDescent="0.25">
      <c r="J391" s="400" t="s">
        <v>336</v>
      </c>
      <c r="K391" s="401" t="s">
        <v>1047</v>
      </c>
      <c r="L391" s="402" t="s">
        <v>1048</v>
      </c>
      <c r="M391" s="402">
        <v>128829.15</v>
      </c>
      <c r="N391" s="402">
        <v>358507.11</v>
      </c>
      <c r="O391" s="402">
        <v>0</v>
      </c>
      <c r="P391" s="402">
        <v>0</v>
      </c>
      <c r="Q391" s="402">
        <v>0</v>
      </c>
      <c r="R391" s="402">
        <v>0</v>
      </c>
      <c r="S391" s="402">
        <v>0</v>
      </c>
      <c r="T391" s="402">
        <v>0</v>
      </c>
      <c r="U391" s="402">
        <v>0</v>
      </c>
      <c r="V391" s="402">
        <v>25765.83</v>
      </c>
      <c r="W391" s="402">
        <v>25765.83</v>
      </c>
      <c r="X391" s="402">
        <v>25765.83</v>
      </c>
      <c r="Y391" s="402">
        <v>25765.83</v>
      </c>
      <c r="Z391" s="402">
        <v>25765.83</v>
      </c>
      <c r="AA391" s="402">
        <v>128829.15</v>
      </c>
    </row>
    <row r="392" spans="10:27" ht="15" customHeight="1" x14ac:dyDescent="0.25">
      <c r="J392" s="400" t="s">
        <v>336</v>
      </c>
      <c r="K392" s="401" t="s">
        <v>1049</v>
      </c>
      <c r="L392" s="402" t="s">
        <v>1050</v>
      </c>
      <c r="M392" s="402">
        <v>21682.5</v>
      </c>
      <c r="N392" s="402">
        <v>55786.33</v>
      </c>
      <c r="O392" s="402">
        <v>0</v>
      </c>
      <c r="P392" s="402">
        <v>0</v>
      </c>
      <c r="Q392" s="402">
        <v>0</v>
      </c>
      <c r="R392" s="402">
        <v>0</v>
      </c>
      <c r="S392" s="402">
        <v>0</v>
      </c>
      <c r="T392" s="402">
        <v>0</v>
      </c>
      <c r="U392" s="402">
        <v>0</v>
      </c>
      <c r="V392" s="402">
        <v>4336.5</v>
      </c>
      <c r="W392" s="402">
        <v>4336.5</v>
      </c>
      <c r="X392" s="402">
        <v>4336.5</v>
      </c>
      <c r="Y392" s="402">
        <v>4336.5</v>
      </c>
      <c r="Z392" s="402">
        <v>4336.5</v>
      </c>
      <c r="AA392" s="402">
        <v>21682.5</v>
      </c>
    </row>
    <row r="393" spans="10:27" ht="15" customHeight="1" x14ac:dyDescent="0.25">
      <c r="J393" s="400" t="s">
        <v>336</v>
      </c>
      <c r="K393" s="401" t="s">
        <v>1051</v>
      </c>
      <c r="L393" s="402" t="s">
        <v>1052</v>
      </c>
      <c r="M393" s="402">
        <v>369235.05</v>
      </c>
      <c r="N393" s="402">
        <v>0</v>
      </c>
      <c r="O393" s="402">
        <v>0</v>
      </c>
      <c r="P393" s="402">
        <v>0</v>
      </c>
      <c r="Q393" s="402">
        <v>0</v>
      </c>
      <c r="R393" s="402">
        <v>0</v>
      </c>
      <c r="S393" s="402">
        <v>0</v>
      </c>
      <c r="T393" s="402">
        <v>0</v>
      </c>
      <c r="U393" s="402">
        <v>0</v>
      </c>
      <c r="V393" s="402">
        <v>73847.009999999995</v>
      </c>
      <c r="W393" s="402">
        <v>73847.009999999995</v>
      </c>
      <c r="X393" s="402">
        <v>73847.009999999995</v>
      </c>
      <c r="Y393" s="402">
        <v>73847.009999999995</v>
      </c>
      <c r="Z393" s="402">
        <v>73847.009999999995</v>
      </c>
      <c r="AA393" s="402">
        <v>369235.05</v>
      </c>
    </row>
    <row r="394" spans="10:27" ht="15" customHeight="1" x14ac:dyDescent="0.25">
      <c r="J394" s="400" t="s">
        <v>336</v>
      </c>
      <c r="K394" s="401" t="s">
        <v>1053</v>
      </c>
      <c r="L394" s="402" t="s">
        <v>1054</v>
      </c>
      <c r="M394" s="402">
        <v>6389731.4299999997</v>
      </c>
      <c r="N394" s="402">
        <v>12036371.74</v>
      </c>
      <c r="O394" s="402">
        <v>0</v>
      </c>
      <c r="P394" s="402">
        <v>0</v>
      </c>
      <c r="Q394" s="402">
        <v>0</v>
      </c>
      <c r="R394" s="402">
        <v>0</v>
      </c>
      <c r="S394" s="402">
        <v>0</v>
      </c>
      <c r="T394" s="402">
        <v>0</v>
      </c>
      <c r="U394" s="402">
        <v>0</v>
      </c>
      <c r="V394" s="402">
        <v>1273418.31</v>
      </c>
      <c r="W394" s="402">
        <v>1279078.28</v>
      </c>
      <c r="X394" s="402">
        <v>1279078.28</v>
      </c>
      <c r="Y394" s="402">
        <v>1279078.28</v>
      </c>
      <c r="Z394" s="402">
        <v>1279078.28</v>
      </c>
      <c r="AA394" s="402">
        <v>6389731.4299999997</v>
      </c>
    </row>
    <row r="395" spans="10:27" ht="15" customHeight="1" x14ac:dyDescent="0.25">
      <c r="J395" s="400" t="s">
        <v>336</v>
      </c>
      <c r="K395" s="401" t="s">
        <v>1055</v>
      </c>
      <c r="L395" s="402" t="s">
        <v>1056</v>
      </c>
      <c r="M395" s="402">
        <v>17871.25</v>
      </c>
      <c r="N395" s="402">
        <v>66926.7</v>
      </c>
      <c r="O395" s="402">
        <v>0</v>
      </c>
      <c r="P395" s="402">
        <v>0</v>
      </c>
      <c r="Q395" s="402">
        <v>0</v>
      </c>
      <c r="R395" s="402">
        <v>0</v>
      </c>
      <c r="S395" s="402">
        <v>0</v>
      </c>
      <c r="T395" s="402">
        <v>0</v>
      </c>
      <c r="U395" s="402">
        <v>0</v>
      </c>
      <c r="V395" s="402">
        <v>3574.25</v>
      </c>
      <c r="W395" s="402">
        <v>3574.25</v>
      </c>
      <c r="X395" s="402">
        <v>3574.25</v>
      </c>
      <c r="Y395" s="402">
        <v>3574.25</v>
      </c>
      <c r="Z395" s="402">
        <v>3574.25</v>
      </c>
      <c r="AA395" s="402">
        <v>17871.25</v>
      </c>
    </row>
    <row r="396" spans="10:27" ht="15" customHeight="1" x14ac:dyDescent="0.25">
      <c r="J396" s="400" t="s">
        <v>336</v>
      </c>
      <c r="K396" s="401" t="s">
        <v>1057</v>
      </c>
      <c r="L396" s="402" t="s">
        <v>1058</v>
      </c>
      <c r="M396" s="402">
        <v>1434225.4166667</v>
      </c>
      <c r="N396" s="402">
        <v>3929681.0000004</v>
      </c>
      <c r="O396" s="402">
        <v>0</v>
      </c>
      <c r="P396" s="402">
        <v>0</v>
      </c>
      <c r="Q396" s="402">
        <v>0</v>
      </c>
      <c r="R396" s="402">
        <v>0</v>
      </c>
      <c r="S396" s="402">
        <v>0</v>
      </c>
      <c r="T396" s="402">
        <v>0</v>
      </c>
      <c r="U396" s="402">
        <v>0</v>
      </c>
      <c r="V396" s="402">
        <v>327473</v>
      </c>
      <c r="W396" s="402">
        <v>327473</v>
      </c>
      <c r="X396" s="402">
        <v>327473</v>
      </c>
      <c r="Y396" s="402">
        <v>327473</v>
      </c>
      <c r="Z396" s="402">
        <v>124333.4166667</v>
      </c>
      <c r="AA396" s="402">
        <v>1434225.4166667</v>
      </c>
    </row>
    <row r="397" spans="10:27" ht="15" customHeight="1" x14ac:dyDescent="0.25">
      <c r="J397" s="400" t="s">
        <v>336</v>
      </c>
      <c r="K397" s="401" t="s">
        <v>1059</v>
      </c>
      <c r="L397" s="402" t="s">
        <v>1060</v>
      </c>
      <c r="M397" s="402">
        <v>40068</v>
      </c>
      <c r="N397" s="402">
        <v>62208.800000000003</v>
      </c>
      <c r="O397" s="402">
        <v>0</v>
      </c>
      <c r="P397" s="402">
        <v>0</v>
      </c>
      <c r="Q397" s="402">
        <v>0</v>
      </c>
      <c r="R397" s="402">
        <v>0</v>
      </c>
      <c r="S397" s="402">
        <v>0</v>
      </c>
      <c r="T397" s="402">
        <v>0</v>
      </c>
      <c r="U397" s="402">
        <v>0</v>
      </c>
      <c r="V397" s="402">
        <v>17172</v>
      </c>
      <c r="W397" s="402">
        <v>5724</v>
      </c>
      <c r="X397" s="402">
        <v>5724</v>
      </c>
      <c r="Y397" s="402">
        <v>5724</v>
      </c>
      <c r="Z397" s="402">
        <v>5724</v>
      </c>
      <c r="AA397" s="402">
        <v>40068</v>
      </c>
    </row>
    <row r="398" spans="10:27" ht="15" customHeight="1" x14ac:dyDescent="0.25">
      <c r="J398" s="400" t="s">
        <v>336</v>
      </c>
      <c r="K398" s="401" t="s">
        <v>1061</v>
      </c>
      <c r="L398" s="402" t="s">
        <v>1062</v>
      </c>
      <c r="M398" s="402">
        <v>4389438.1399999997</v>
      </c>
      <c r="N398" s="402">
        <v>13233379.289999999</v>
      </c>
      <c r="O398" s="402">
        <v>0</v>
      </c>
      <c r="P398" s="402">
        <v>0</v>
      </c>
      <c r="Q398" s="402">
        <v>0</v>
      </c>
      <c r="R398" s="402">
        <v>0</v>
      </c>
      <c r="S398" s="402">
        <v>0</v>
      </c>
      <c r="T398" s="402">
        <v>0</v>
      </c>
      <c r="U398" s="402">
        <v>0</v>
      </c>
      <c r="V398" s="402">
        <v>876546.3</v>
      </c>
      <c r="W398" s="402">
        <v>878222.96</v>
      </c>
      <c r="X398" s="402">
        <v>878222.96</v>
      </c>
      <c r="Y398" s="402">
        <v>878222.96</v>
      </c>
      <c r="Z398" s="402">
        <v>878222.96</v>
      </c>
      <c r="AA398" s="402">
        <v>4389438.1399999997</v>
      </c>
    </row>
    <row r="399" spans="10:27" ht="15" customHeight="1" x14ac:dyDescent="0.25">
      <c r="J399" s="400" t="s">
        <v>336</v>
      </c>
      <c r="K399" s="401" t="s">
        <v>1063</v>
      </c>
      <c r="L399" s="402" t="s">
        <v>1064</v>
      </c>
      <c r="M399" s="402">
        <v>111871.45</v>
      </c>
      <c r="N399" s="402">
        <v>192123.42</v>
      </c>
      <c r="O399" s="402">
        <v>0</v>
      </c>
      <c r="P399" s="402">
        <v>0</v>
      </c>
      <c r="Q399" s="402">
        <v>0</v>
      </c>
      <c r="R399" s="402">
        <v>0</v>
      </c>
      <c r="S399" s="402">
        <v>0</v>
      </c>
      <c r="T399" s="402">
        <v>0</v>
      </c>
      <c r="U399" s="402">
        <v>0</v>
      </c>
      <c r="V399" s="402">
        <v>31373.49</v>
      </c>
      <c r="W399" s="402">
        <v>20124.490000000002</v>
      </c>
      <c r="X399" s="402">
        <v>20124.490000000002</v>
      </c>
      <c r="Y399" s="402">
        <v>20124.490000000002</v>
      </c>
      <c r="Z399" s="402">
        <v>20124.490000000002</v>
      </c>
      <c r="AA399" s="402">
        <v>111871.45</v>
      </c>
    </row>
    <row r="400" spans="10:27" ht="15" customHeight="1" x14ac:dyDescent="0.25">
      <c r="J400" s="400" t="s">
        <v>336</v>
      </c>
      <c r="K400" s="401" t="s">
        <v>1065</v>
      </c>
      <c r="L400" s="402" t="s">
        <v>1066</v>
      </c>
      <c r="M400" s="402">
        <v>1787.1</v>
      </c>
      <c r="N400" s="402">
        <v>5876.54</v>
      </c>
      <c r="O400" s="402">
        <v>0</v>
      </c>
      <c r="P400" s="402">
        <v>0</v>
      </c>
      <c r="Q400" s="402">
        <v>0</v>
      </c>
      <c r="R400" s="402">
        <v>0</v>
      </c>
      <c r="S400" s="402">
        <v>0</v>
      </c>
      <c r="T400" s="402">
        <v>0</v>
      </c>
      <c r="U400" s="402">
        <v>0</v>
      </c>
      <c r="V400" s="402">
        <v>357.42</v>
      </c>
      <c r="W400" s="402">
        <v>357.42</v>
      </c>
      <c r="X400" s="402">
        <v>357.42</v>
      </c>
      <c r="Y400" s="402">
        <v>357.42</v>
      </c>
      <c r="Z400" s="402">
        <v>357.42</v>
      </c>
      <c r="AA400" s="402">
        <v>1787.1</v>
      </c>
    </row>
    <row r="401" spans="10:27" ht="15" customHeight="1" x14ac:dyDescent="0.25">
      <c r="J401" s="400" t="s">
        <v>336</v>
      </c>
      <c r="K401" s="401" t="s">
        <v>1067</v>
      </c>
      <c r="L401" s="402" t="s">
        <v>1068</v>
      </c>
      <c r="M401" s="402">
        <v>1008.37</v>
      </c>
      <c r="N401" s="402">
        <v>1100.0000004000001</v>
      </c>
      <c r="O401" s="402">
        <v>0</v>
      </c>
      <c r="P401" s="402">
        <v>0</v>
      </c>
      <c r="Q401" s="402">
        <v>0</v>
      </c>
      <c r="R401" s="402">
        <v>0</v>
      </c>
      <c r="S401" s="402">
        <v>0</v>
      </c>
      <c r="T401" s="402">
        <v>0</v>
      </c>
      <c r="U401" s="402">
        <v>0</v>
      </c>
      <c r="V401" s="402">
        <v>641.69000000000005</v>
      </c>
      <c r="W401" s="402">
        <v>91.67</v>
      </c>
      <c r="X401" s="402">
        <v>91.67</v>
      </c>
      <c r="Y401" s="402">
        <v>91.67</v>
      </c>
      <c r="Z401" s="402">
        <v>91.67</v>
      </c>
      <c r="AA401" s="402">
        <v>1008.37</v>
      </c>
    </row>
    <row r="402" spans="10:27" ht="15" customHeight="1" x14ac:dyDescent="0.25">
      <c r="J402" s="400" t="s">
        <v>336</v>
      </c>
      <c r="K402" s="401" t="s">
        <v>1069</v>
      </c>
      <c r="L402" s="402" t="s">
        <v>1070</v>
      </c>
      <c r="M402" s="402">
        <v>533.6</v>
      </c>
      <c r="N402" s="402">
        <v>1500.35</v>
      </c>
      <c r="O402" s="402">
        <v>0</v>
      </c>
      <c r="P402" s="402">
        <v>0</v>
      </c>
      <c r="Q402" s="402">
        <v>0</v>
      </c>
      <c r="R402" s="402">
        <v>0</v>
      </c>
      <c r="S402" s="402">
        <v>0</v>
      </c>
      <c r="T402" s="402">
        <v>0</v>
      </c>
      <c r="U402" s="402">
        <v>0</v>
      </c>
      <c r="V402" s="402">
        <v>106.72</v>
      </c>
      <c r="W402" s="402">
        <v>106.72</v>
      </c>
      <c r="X402" s="402">
        <v>106.72</v>
      </c>
      <c r="Y402" s="402">
        <v>106.72</v>
      </c>
      <c r="Z402" s="402">
        <v>106.72</v>
      </c>
      <c r="AA402" s="402">
        <v>533.6</v>
      </c>
    </row>
    <row r="403" spans="10:27" ht="15" customHeight="1" x14ac:dyDescent="0.25">
      <c r="J403" s="400" t="s">
        <v>336</v>
      </c>
      <c r="K403" s="401" t="s">
        <v>1071</v>
      </c>
      <c r="L403" s="402" t="s">
        <v>1072</v>
      </c>
      <c r="M403" s="402">
        <v>312908.75</v>
      </c>
      <c r="N403" s="402">
        <v>579969.50685000001</v>
      </c>
      <c r="O403" s="402">
        <v>0</v>
      </c>
      <c r="P403" s="402">
        <v>0</v>
      </c>
      <c r="Q403" s="402">
        <v>0</v>
      </c>
      <c r="R403" s="402">
        <v>0</v>
      </c>
      <c r="S403" s="402">
        <v>0</v>
      </c>
      <c r="T403" s="402">
        <v>0</v>
      </c>
      <c r="U403" s="402">
        <v>0</v>
      </c>
      <c r="V403" s="402">
        <v>134103.75</v>
      </c>
      <c r="W403" s="402">
        <v>44701.25</v>
      </c>
      <c r="X403" s="402">
        <v>44701.25</v>
      </c>
      <c r="Y403" s="402">
        <v>44701.25</v>
      </c>
      <c r="Z403" s="402">
        <v>44701.25</v>
      </c>
      <c r="AA403" s="402">
        <v>312908.75</v>
      </c>
    </row>
    <row r="404" spans="10:27" ht="15" customHeight="1" x14ac:dyDescent="0.25">
      <c r="J404" s="400" t="s">
        <v>336</v>
      </c>
      <c r="K404" s="401" t="s">
        <v>1073</v>
      </c>
      <c r="L404" s="402" t="s">
        <v>1074</v>
      </c>
      <c r="M404" s="402">
        <v>1240117.55</v>
      </c>
      <c r="N404" s="402">
        <v>2926449.94</v>
      </c>
      <c r="O404" s="402">
        <v>0</v>
      </c>
      <c r="P404" s="402">
        <v>0</v>
      </c>
      <c r="Q404" s="402">
        <v>0</v>
      </c>
      <c r="R404" s="402">
        <v>0</v>
      </c>
      <c r="S404" s="402">
        <v>0</v>
      </c>
      <c r="T404" s="402">
        <v>0</v>
      </c>
      <c r="U404" s="402">
        <v>0</v>
      </c>
      <c r="V404" s="402">
        <v>248023.51</v>
      </c>
      <c r="W404" s="402">
        <v>248023.51</v>
      </c>
      <c r="X404" s="402">
        <v>248023.51</v>
      </c>
      <c r="Y404" s="402">
        <v>248023.51</v>
      </c>
      <c r="Z404" s="402">
        <v>248023.51</v>
      </c>
      <c r="AA404" s="402">
        <v>1240117.55</v>
      </c>
    </row>
    <row r="405" spans="10:27" ht="15" customHeight="1" x14ac:dyDescent="0.25">
      <c r="J405" s="400" t="s">
        <v>336</v>
      </c>
      <c r="K405" s="401" t="s">
        <v>1075</v>
      </c>
      <c r="L405" s="402" t="s">
        <v>1076</v>
      </c>
      <c r="M405" s="402">
        <v>264931.49</v>
      </c>
      <c r="N405" s="402">
        <v>603280.98</v>
      </c>
      <c r="O405" s="402">
        <v>0</v>
      </c>
      <c r="P405" s="402">
        <v>0</v>
      </c>
      <c r="Q405" s="402">
        <v>0</v>
      </c>
      <c r="R405" s="402">
        <v>0</v>
      </c>
      <c r="S405" s="402">
        <v>0</v>
      </c>
      <c r="T405" s="402">
        <v>0</v>
      </c>
      <c r="U405" s="402">
        <v>0</v>
      </c>
      <c r="V405" s="402">
        <v>52972.66</v>
      </c>
      <c r="W405" s="402">
        <v>52972.63</v>
      </c>
      <c r="X405" s="402">
        <v>52972.63</v>
      </c>
      <c r="Y405" s="402">
        <v>52972.63</v>
      </c>
      <c r="Z405" s="402">
        <v>53040.94</v>
      </c>
      <c r="AA405" s="402">
        <v>264931.49</v>
      </c>
    </row>
    <row r="406" spans="10:27" ht="15" customHeight="1" x14ac:dyDescent="0.2">
      <c r="J406" s="392" t="s">
        <v>336</v>
      </c>
      <c r="K406" s="399" t="s">
        <v>1077</v>
      </c>
      <c r="L406" s="392" t="s">
        <v>1078</v>
      </c>
      <c r="M406" s="393">
        <v>389080.8</v>
      </c>
      <c r="N406" s="393">
        <v>432709</v>
      </c>
      <c r="O406" s="393">
        <v>36238.94</v>
      </c>
      <c r="P406" s="393">
        <v>29249.48</v>
      </c>
      <c r="Q406" s="393">
        <v>31973.69</v>
      </c>
      <c r="R406" s="393">
        <v>47606.51</v>
      </c>
      <c r="S406" s="393">
        <v>43128.77</v>
      </c>
      <c r="T406" s="393">
        <v>47395.92</v>
      </c>
      <c r="U406" s="393">
        <v>37044.339999999997</v>
      </c>
      <c r="V406" s="393">
        <v>23288.63</v>
      </c>
      <c r="W406" s="393">
        <v>23288.63</v>
      </c>
      <c r="X406" s="393">
        <v>23288.63</v>
      </c>
      <c r="Y406" s="393">
        <v>23288.63</v>
      </c>
      <c r="Z406" s="393">
        <v>23288.63</v>
      </c>
      <c r="AA406" s="393">
        <v>389080.8</v>
      </c>
    </row>
    <row r="407" spans="10:27" ht="15" customHeight="1" x14ac:dyDescent="0.25">
      <c r="J407" s="400" t="s">
        <v>336</v>
      </c>
      <c r="K407" s="401" t="s">
        <v>1079</v>
      </c>
      <c r="L407" s="402" t="s">
        <v>1080</v>
      </c>
      <c r="M407" s="402">
        <v>468267.58</v>
      </c>
      <c r="N407" s="402">
        <v>0</v>
      </c>
      <c r="O407" s="402">
        <v>44511.15</v>
      </c>
      <c r="P407" s="402">
        <v>91825.18</v>
      </c>
      <c r="Q407" s="402">
        <v>58123.27</v>
      </c>
      <c r="R407" s="402">
        <v>57881.68</v>
      </c>
      <c r="S407" s="402">
        <v>101489.14</v>
      </c>
      <c r="T407" s="402">
        <v>60885.88</v>
      </c>
      <c r="U407" s="402">
        <v>53551.28</v>
      </c>
      <c r="V407" s="402">
        <v>0</v>
      </c>
      <c r="W407" s="402">
        <v>0</v>
      </c>
      <c r="X407" s="402">
        <v>0</v>
      </c>
      <c r="Y407" s="402">
        <v>0</v>
      </c>
      <c r="Z407" s="402">
        <v>0</v>
      </c>
      <c r="AA407" s="402">
        <v>468267.58</v>
      </c>
    </row>
    <row r="408" spans="10:27" ht="15" customHeight="1" x14ac:dyDescent="0.25">
      <c r="J408" s="400" t="s">
        <v>336</v>
      </c>
      <c r="K408" s="401" t="s">
        <v>1081</v>
      </c>
      <c r="L408" s="402" t="s">
        <v>1082</v>
      </c>
      <c r="M408" s="402">
        <v>8769.2199999999993</v>
      </c>
      <c r="N408" s="402">
        <v>0</v>
      </c>
      <c r="O408" s="402">
        <v>-943.43</v>
      </c>
      <c r="P408" s="402">
        <v>960.17</v>
      </c>
      <c r="Q408" s="402">
        <v>931.58</v>
      </c>
      <c r="R408" s="402">
        <v>1015.85</v>
      </c>
      <c r="S408" s="402">
        <v>0</v>
      </c>
      <c r="T408" s="402">
        <v>0</v>
      </c>
      <c r="U408" s="402">
        <v>6805.05</v>
      </c>
      <c r="V408" s="402">
        <v>0</v>
      </c>
      <c r="W408" s="402">
        <v>0</v>
      </c>
      <c r="X408" s="402">
        <v>0</v>
      </c>
      <c r="Y408" s="402">
        <v>0</v>
      </c>
      <c r="Z408" s="402">
        <v>0</v>
      </c>
      <c r="AA408" s="402">
        <v>8769.2199999999993</v>
      </c>
    </row>
    <row r="409" spans="10:27" ht="15" customHeight="1" x14ac:dyDescent="0.25">
      <c r="J409" s="400" t="s">
        <v>336</v>
      </c>
      <c r="K409" s="401" t="s">
        <v>1083</v>
      </c>
      <c r="L409" s="402" t="s">
        <v>1084</v>
      </c>
      <c r="M409" s="402">
        <v>11812.1</v>
      </c>
      <c r="N409" s="402">
        <v>0</v>
      </c>
      <c r="O409" s="402">
        <v>3088.95</v>
      </c>
      <c r="P409" s="402">
        <v>0</v>
      </c>
      <c r="Q409" s="402">
        <v>1880.15</v>
      </c>
      <c r="R409" s="402">
        <v>1936.1</v>
      </c>
      <c r="S409" s="402">
        <v>0</v>
      </c>
      <c r="T409" s="402">
        <v>0</v>
      </c>
      <c r="U409" s="402">
        <v>4906.8999999999996</v>
      </c>
      <c r="V409" s="402">
        <v>0</v>
      </c>
      <c r="W409" s="402">
        <v>0</v>
      </c>
      <c r="X409" s="402">
        <v>0</v>
      </c>
      <c r="Y409" s="402">
        <v>0</v>
      </c>
      <c r="Z409" s="402">
        <v>0</v>
      </c>
      <c r="AA409" s="402">
        <v>11812.1</v>
      </c>
    </row>
    <row r="410" spans="10:27" ht="15" customHeight="1" x14ac:dyDescent="0.25">
      <c r="J410" s="400" t="s">
        <v>336</v>
      </c>
      <c r="K410" s="401" t="s">
        <v>1085</v>
      </c>
      <c r="L410" s="402" t="s">
        <v>1086</v>
      </c>
      <c r="M410" s="402">
        <v>12719.27</v>
      </c>
      <c r="N410" s="402">
        <v>0</v>
      </c>
      <c r="O410" s="402">
        <v>12122.29</v>
      </c>
      <c r="P410" s="402">
        <v>-30320.21</v>
      </c>
      <c r="Q410" s="402">
        <v>129.96</v>
      </c>
      <c r="R410" s="402">
        <v>0</v>
      </c>
      <c r="S410" s="402">
        <v>1173.3399999999999</v>
      </c>
      <c r="T410" s="402">
        <v>19192.009999999998</v>
      </c>
      <c r="U410" s="402">
        <v>10421.879999999999</v>
      </c>
      <c r="V410" s="402">
        <v>0</v>
      </c>
      <c r="W410" s="402">
        <v>0</v>
      </c>
      <c r="X410" s="402">
        <v>0</v>
      </c>
      <c r="Y410" s="402">
        <v>0</v>
      </c>
      <c r="Z410" s="402">
        <v>0</v>
      </c>
      <c r="AA410" s="402">
        <v>12719.27</v>
      </c>
    </row>
    <row r="411" spans="10:27" ht="15" customHeight="1" x14ac:dyDescent="0.25">
      <c r="J411" s="400" t="s">
        <v>336</v>
      </c>
      <c r="K411" s="401" t="s">
        <v>1087</v>
      </c>
      <c r="L411" s="402" t="s">
        <v>1088</v>
      </c>
      <c r="M411" s="402">
        <v>0</v>
      </c>
      <c r="N411" s="402">
        <v>2240550.42</v>
      </c>
      <c r="O411" s="402">
        <v>0</v>
      </c>
      <c r="P411" s="402">
        <v>0</v>
      </c>
      <c r="Q411" s="402">
        <v>0</v>
      </c>
      <c r="R411" s="402">
        <v>0</v>
      </c>
      <c r="S411" s="402">
        <v>0</v>
      </c>
      <c r="T411" s="402">
        <v>0</v>
      </c>
      <c r="U411" s="402">
        <v>0</v>
      </c>
      <c r="V411" s="402">
        <v>0</v>
      </c>
      <c r="W411" s="402">
        <v>0</v>
      </c>
      <c r="X411" s="402">
        <v>0</v>
      </c>
      <c r="Y411" s="402">
        <v>0</v>
      </c>
      <c r="Z411" s="402">
        <v>0</v>
      </c>
      <c r="AA411" s="402">
        <v>0</v>
      </c>
    </row>
    <row r="412" spans="10:27" ht="15" customHeight="1" x14ac:dyDescent="0.25">
      <c r="J412" s="400" t="s">
        <v>336</v>
      </c>
      <c r="K412" s="412" t="s">
        <v>1089</v>
      </c>
      <c r="L412" s="410" t="s">
        <v>1090</v>
      </c>
      <c r="M412" s="410">
        <v>232375.34</v>
      </c>
      <c r="N412" s="410">
        <v>66000</v>
      </c>
      <c r="O412" s="410">
        <v>29509.01</v>
      </c>
      <c r="P412" s="410">
        <v>31930.01</v>
      </c>
      <c r="Q412" s="410">
        <v>30437.5</v>
      </c>
      <c r="R412" s="410">
        <v>30091.3</v>
      </c>
      <c r="S412" s="410">
        <v>32920.300000000003</v>
      </c>
      <c r="T412" s="410">
        <v>47395.92</v>
      </c>
      <c r="U412" s="410">
        <v>30091.3</v>
      </c>
      <c r="V412" s="410">
        <v>0</v>
      </c>
      <c r="W412" s="410">
        <v>0</v>
      </c>
      <c r="X412" s="410">
        <v>0</v>
      </c>
      <c r="Y412" s="410">
        <v>0</v>
      </c>
      <c r="Z412" s="410">
        <v>0</v>
      </c>
      <c r="AA412" s="410">
        <v>232375.34</v>
      </c>
    </row>
    <row r="413" spans="10:27" ht="15" customHeight="1" x14ac:dyDescent="0.25">
      <c r="J413" s="400" t="s">
        <v>336</v>
      </c>
      <c r="K413" s="401" t="s">
        <v>1091</v>
      </c>
      <c r="L413" s="402" t="s">
        <v>1092</v>
      </c>
      <c r="M413" s="402">
        <v>-461305.86</v>
      </c>
      <c r="N413" s="402">
        <v>0</v>
      </c>
      <c r="O413" s="402">
        <v>-52049.03</v>
      </c>
      <c r="P413" s="402">
        <v>-65145.67</v>
      </c>
      <c r="Q413" s="402">
        <v>-59528.77</v>
      </c>
      <c r="R413" s="402">
        <v>-43318.42</v>
      </c>
      <c r="S413" s="402">
        <v>-92454.01</v>
      </c>
      <c r="T413" s="402">
        <v>-80077.89</v>
      </c>
      <c r="U413" s="402">
        <v>-68732.070000000007</v>
      </c>
      <c r="V413" s="402">
        <v>0</v>
      </c>
      <c r="W413" s="402">
        <v>0</v>
      </c>
      <c r="X413" s="402">
        <v>0</v>
      </c>
      <c r="Y413" s="402">
        <v>0</v>
      </c>
      <c r="Z413" s="402">
        <v>0</v>
      </c>
      <c r="AA413" s="402">
        <v>-461305.86</v>
      </c>
    </row>
    <row r="414" spans="10:27" ht="15" customHeight="1" x14ac:dyDescent="0.25">
      <c r="J414" s="400" t="s">
        <v>336</v>
      </c>
      <c r="K414" s="401" t="s">
        <v>1093</v>
      </c>
      <c r="L414" s="402" t="s">
        <v>1094</v>
      </c>
      <c r="M414" s="402">
        <v>15000</v>
      </c>
      <c r="N414" s="402">
        <v>0</v>
      </c>
      <c r="O414" s="402">
        <v>0</v>
      </c>
      <c r="P414" s="402">
        <v>0</v>
      </c>
      <c r="Q414" s="402">
        <v>0</v>
      </c>
      <c r="R414" s="402">
        <v>0</v>
      </c>
      <c r="S414" s="402">
        <v>0</v>
      </c>
      <c r="T414" s="402">
        <v>0</v>
      </c>
      <c r="U414" s="402">
        <v>0</v>
      </c>
      <c r="V414" s="402">
        <v>3000</v>
      </c>
      <c r="W414" s="402">
        <v>3000</v>
      </c>
      <c r="X414" s="402">
        <v>3000</v>
      </c>
      <c r="Y414" s="402">
        <v>3000</v>
      </c>
      <c r="Z414" s="402">
        <v>3000</v>
      </c>
      <c r="AA414" s="402">
        <v>15000</v>
      </c>
    </row>
    <row r="415" spans="10:27" ht="15" customHeight="1" x14ac:dyDescent="0.25">
      <c r="J415" s="400" t="s">
        <v>336</v>
      </c>
      <c r="K415" s="401" t="s">
        <v>1095</v>
      </c>
      <c r="L415" s="402" t="s">
        <v>1096</v>
      </c>
      <c r="M415" s="402">
        <v>-50741.95</v>
      </c>
      <c r="N415" s="402">
        <v>-2260734.42</v>
      </c>
      <c r="O415" s="402">
        <v>0</v>
      </c>
      <c r="P415" s="402">
        <v>0</v>
      </c>
      <c r="Q415" s="402">
        <v>0</v>
      </c>
      <c r="R415" s="402">
        <v>0</v>
      </c>
      <c r="S415" s="402">
        <v>0</v>
      </c>
      <c r="T415" s="402">
        <v>0</v>
      </c>
      <c r="U415" s="402">
        <v>0</v>
      </c>
      <c r="V415" s="402">
        <v>-10148.39</v>
      </c>
      <c r="W415" s="402">
        <v>-10148.39</v>
      </c>
      <c r="X415" s="402">
        <v>-10148.39</v>
      </c>
      <c r="Y415" s="402">
        <v>-10148.39</v>
      </c>
      <c r="Z415" s="402">
        <v>-10148.39</v>
      </c>
      <c r="AA415" s="402">
        <v>-50741.95</v>
      </c>
    </row>
    <row r="416" spans="10:27" ht="15" customHeight="1" x14ac:dyDescent="0.25">
      <c r="J416" s="400" t="s">
        <v>336</v>
      </c>
      <c r="K416" s="401" t="s">
        <v>1097</v>
      </c>
      <c r="L416" s="402" t="s">
        <v>1098</v>
      </c>
      <c r="M416" s="402">
        <v>0</v>
      </c>
      <c r="N416" s="402">
        <v>20184</v>
      </c>
      <c r="O416" s="402">
        <v>0</v>
      </c>
      <c r="P416" s="402">
        <v>0</v>
      </c>
      <c r="Q416" s="402">
        <v>0</v>
      </c>
      <c r="R416" s="402">
        <v>0</v>
      </c>
      <c r="S416" s="402">
        <v>0</v>
      </c>
      <c r="T416" s="402">
        <v>0</v>
      </c>
      <c r="U416" s="402">
        <v>0</v>
      </c>
      <c r="V416" s="402">
        <v>0</v>
      </c>
      <c r="W416" s="402">
        <v>0</v>
      </c>
      <c r="X416" s="402">
        <v>0</v>
      </c>
      <c r="Y416" s="402">
        <v>0</v>
      </c>
      <c r="Z416" s="402">
        <v>0</v>
      </c>
      <c r="AA416" s="402">
        <v>0</v>
      </c>
    </row>
    <row r="417" spans="10:27" ht="15" customHeight="1" x14ac:dyDescent="0.25">
      <c r="J417" s="400" t="s">
        <v>336</v>
      </c>
      <c r="K417" s="412" t="s">
        <v>1099</v>
      </c>
      <c r="L417" s="410" t="s">
        <v>1100</v>
      </c>
      <c r="M417" s="410">
        <v>152185.1</v>
      </c>
      <c r="N417" s="410">
        <v>366709</v>
      </c>
      <c r="O417" s="410">
        <v>0</v>
      </c>
      <c r="P417" s="410">
        <v>0</v>
      </c>
      <c r="Q417" s="410">
        <v>0</v>
      </c>
      <c r="R417" s="410">
        <v>0</v>
      </c>
      <c r="S417" s="410">
        <v>0</v>
      </c>
      <c r="T417" s="410">
        <v>0</v>
      </c>
      <c r="U417" s="410">
        <v>0</v>
      </c>
      <c r="V417" s="410">
        <v>30437.02</v>
      </c>
      <c r="W417" s="410">
        <v>30437.02</v>
      </c>
      <c r="X417" s="410">
        <v>30437.02</v>
      </c>
      <c r="Y417" s="410">
        <v>30437.02</v>
      </c>
      <c r="Z417" s="410">
        <v>30437.02</v>
      </c>
      <c r="AA417" s="410">
        <v>152185.1</v>
      </c>
    </row>
    <row r="418" spans="10:27" ht="15" customHeight="1" x14ac:dyDescent="0.2">
      <c r="J418" s="392" t="s">
        <v>336</v>
      </c>
      <c r="K418" s="399" t="s">
        <v>1101</v>
      </c>
      <c r="L418" s="392" t="s">
        <v>1102</v>
      </c>
      <c r="M418" s="393">
        <v>2536542.4500000002</v>
      </c>
      <c r="N418" s="393">
        <v>2805132.0496363998</v>
      </c>
      <c r="O418" s="393">
        <v>248856.7</v>
      </c>
      <c r="P418" s="393">
        <v>207742.2</v>
      </c>
      <c r="Q418" s="393">
        <v>202600.98</v>
      </c>
      <c r="R418" s="393">
        <v>207742.21</v>
      </c>
      <c r="S418" s="393">
        <v>208970.73</v>
      </c>
      <c r="T418" s="393">
        <v>202641.58</v>
      </c>
      <c r="U418" s="393">
        <v>209040.3</v>
      </c>
      <c r="V418" s="393">
        <v>206489.55</v>
      </c>
      <c r="W418" s="393">
        <v>206489.55</v>
      </c>
      <c r="X418" s="393">
        <v>206489.55</v>
      </c>
      <c r="Y418" s="393">
        <v>206489.55</v>
      </c>
      <c r="Z418" s="393">
        <v>222989.55</v>
      </c>
      <c r="AA418" s="393">
        <v>2536542.4500000002</v>
      </c>
    </row>
    <row r="419" spans="10:27" ht="15" customHeight="1" x14ac:dyDescent="0.25">
      <c r="J419" s="400" t="s">
        <v>336</v>
      </c>
      <c r="K419" s="401" t="s">
        <v>1103</v>
      </c>
      <c r="L419" s="402" t="s">
        <v>1104</v>
      </c>
      <c r="M419" s="402">
        <v>895350.49</v>
      </c>
      <c r="N419" s="402">
        <v>583020</v>
      </c>
      <c r="O419" s="402">
        <v>129846.68</v>
      </c>
      <c r="P419" s="402">
        <v>129846.68</v>
      </c>
      <c r="Q419" s="402">
        <v>123517.55</v>
      </c>
      <c r="R419" s="402">
        <v>129846.69</v>
      </c>
      <c r="S419" s="402">
        <v>129846.68</v>
      </c>
      <c r="T419" s="402">
        <v>123517.53</v>
      </c>
      <c r="U419" s="402">
        <v>128928.68</v>
      </c>
      <c r="V419" s="402">
        <v>0</v>
      </c>
      <c r="W419" s="402">
        <v>0</v>
      </c>
      <c r="X419" s="402">
        <v>0</v>
      </c>
      <c r="Y419" s="402">
        <v>0</v>
      </c>
      <c r="Z419" s="402">
        <v>0</v>
      </c>
      <c r="AA419" s="402">
        <v>895350.49</v>
      </c>
    </row>
    <row r="420" spans="10:27" ht="15" customHeight="1" x14ac:dyDescent="0.25">
      <c r="J420" s="400" t="s">
        <v>336</v>
      </c>
      <c r="K420" s="401" t="s">
        <v>1105</v>
      </c>
      <c r="L420" s="402" t="s">
        <v>1106</v>
      </c>
      <c r="M420" s="402">
        <v>0</v>
      </c>
      <c r="N420" s="402">
        <v>207852.26963639999</v>
      </c>
      <c r="O420" s="402">
        <v>0</v>
      </c>
      <c r="P420" s="402">
        <v>0</v>
      </c>
      <c r="Q420" s="402">
        <v>0</v>
      </c>
      <c r="R420" s="402">
        <v>0</v>
      </c>
      <c r="S420" s="402">
        <v>0</v>
      </c>
      <c r="T420" s="402">
        <v>0</v>
      </c>
      <c r="U420" s="402">
        <v>0</v>
      </c>
      <c r="V420" s="402">
        <v>0</v>
      </c>
      <c r="W420" s="402">
        <v>0</v>
      </c>
      <c r="X420" s="402">
        <v>0</v>
      </c>
      <c r="Y420" s="402">
        <v>0</v>
      </c>
      <c r="Z420" s="402">
        <v>0</v>
      </c>
      <c r="AA420" s="402">
        <v>0</v>
      </c>
    </row>
    <row r="421" spans="10:27" ht="15" customHeight="1" x14ac:dyDescent="0.25">
      <c r="J421" s="400" t="s">
        <v>336</v>
      </c>
      <c r="K421" s="401" t="s">
        <v>1107</v>
      </c>
      <c r="L421" s="402" t="s">
        <v>1108</v>
      </c>
      <c r="M421" s="402">
        <v>147099.04999999999</v>
      </c>
      <c r="N421" s="402">
        <v>41897.78</v>
      </c>
      <c r="O421" s="402">
        <v>56255.15</v>
      </c>
      <c r="P421" s="402">
        <v>15140.65</v>
      </c>
      <c r="Q421" s="402">
        <v>15140.65</v>
      </c>
      <c r="R421" s="402">
        <v>15140.65</v>
      </c>
      <c r="S421" s="402">
        <v>15140.65</v>
      </c>
      <c r="T421" s="402">
        <v>15140.65</v>
      </c>
      <c r="U421" s="402">
        <v>15140.65</v>
      </c>
      <c r="V421" s="402">
        <v>0</v>
      </c>
      <c r="W421" s="402">
        <v>0</v>
      </c>
      <c r="X421" s="402">
        <v>0</v>
      </c>
      <c r="Y421" s="402">
        <v>0</v>
      </c>
      <c r="Z421" s="402">
        <v>0</v>
      </c>
      <c r="AA421" s="402">
        <v>147099.04999999999</v>
      </c>
    </row>
    <row r="422" spans="10:27" ht="15" customHeight="1" x14ac:dyDescent="0.25">
      <c r="J422" s="400" t="s">
        <v>336</v>
      </c>
      <c r="K422" s="401" t="s">
        <v>1109</v>
      </c>
      <c r="L422" s="402" t="s">
        <v>1110</v>
      </c>
      <c r="M422" s="402">
        <v>357917.72</v>
      </c>
      <c r="N422" s="402">
        <v>0</v>
      </c>
      <c r="O422" s="402">
        <v>50999.96</v>
      </c>
      <c r="P422" s="402">
        <v>50999.96</v>
      </c>
      <c r="Q422" s="402">
        <v>50999.96</v>
      </c>
      <c r="R422" s="402">
        <v>50999.96</v>
      </c>
      <c r="S422" s="402">
        <v>50999.96</v>
      </c>
      <c r="T422" s="402">
        <v>50999.96</v>
      </c>
      <c r="U422" s="402">
        <v>51917.96</v>
      </c>
      <c r="V422" s="402">
        <v>0</v>
      </c>
      <c r="W422" s="402">
        <v>0</v>
      </c>
      <c r="X422" s="402">
        <v>0</v>
      </c>
      <c r="Y422" s="402">
        <v>0</v>
      </c>
      <c r="Z422" s="402">
        <v>0</v>
      </c>
      <c r="AA422" s="402">
        <v>357917.72</v>
      </c>
    </row>
    <row r="423" spans="10:27" ht="15" customHeight="1" x14ac:dyDescent="0.25">
      <c r="J423" s="400" t="s">
        <v>336</v>
      </c>
      <c r="K423" s="401" t="s">
        <v>1111</v>
      </c>
      <c r="L423" s="402" t="s">
        <v>1112</v>
      </c>
      <c r="M423" s="402">
        <v>87227.44</v>
      </c>
      <c r="N423" s="402">
        <v>46632</v>
      </c>
      <c r="O423" s="402">
        <v>11754.91</v>
      </c>
      <c r="P423" s="402">
        <v>11754.91</v>
      </c>
      <c r="Q423" s="402">
        <v>12942.82</v>
      </c>
      <c r="R423" s="402">
        <v>11754.91</v>
      </c>
      <c r="S423" s="402">
        <v>12983.44</v>
      </c>
      <c r="T423" s="402">
        <v>12983.44</v>
      </c>
      <c r="U423" s="402">
        <v>13053.01</v>
      </c>
      <c r="V423" s="402">
        <v>0</v>
      </c>
      <c r="W423" s="402">
        <v>0</v>
      </c>
      <c r="X423" s="402">
        <v>0</v>
      </c>
      <c r="Y423" s="402">
        <v>0</v>
      </c>
      <c r="Z423" s="402">
        <v>0</v>
      </c>
      <c r="AA423" s="402">
        <v>87227.44</v>
      </c>
    </row>
    <row r="424" spans="10:27" ht="15" customHeight="1" x14ac:dyDescent="0.25">
      <c r="J424" s="400" t="s">
        <v>336</v>
      </c>
      <c r="K424" s="401" t="s">
        <v>1113</v>
      </c>
      <c r="L424" s="402" t="s">
        <v>1114</v>
      </c>
      <c r="M424" s="402">
        <v>927674</v>
      </c>
      <c r="N424" s="402">
        <v>1664328</v>
      </c>
      <c r="O424" s="402">
        <v>0</v>
      </c>
      <c r="P424" s="402">
        <v>0</v>
      </c>
      <c r="Q424" s="402">
        <v>0</v>
      </c>
      <c r="R424" s="402">
        <v>0</v>
      </c>
      <c r="S424" s="402">
        <v>0</v>
      </c>
      <c r="T424" s="402">
        <v>0</v>
      </c>
      <c r="U424" s="402">
        <v>0</v>
      </c>
      <c r="V424" s="402">
        <v>182234.8</v>
      </c>
      <c r="W424" s="402">
        <v>182234.8</v>
      </c>
      <c r="X424" s="402">
        <v>182234.8</v>
      </c>
      <c r="Y424" s="402">
        <v>182234.8</v>
      </c>
      <c r="Z424" s="402">
        <v>198734.8</v>
      </c>
      <c r="AA424" s="402">
        <v>927674</v>
      </c>
    </row>
    <row r="425" spans="10:27" ht="15" customHeight="1" x14ac:dyDescent="0.25">
      <c r="J425" s="400" t="s">
        <v>336</v>
      </c>
      <c r="K425" s="401" t="s">
        <v>1115</v>
      </c>
      <c r="L425" s="402" t="s">
        <v>1116</v>
      </c>
      <c r="M425" s="402">
        <v>45570.5</v>
      </c>
      <c r="N425" s="402">
        <v>85650</v>
      </c>
      <c r="O425" s="402">
        <v>0</v>
      </c>
      <c r="P425" s="402">
        <v>0</v>
      </c>
      <c r="Q425" s="402">
        <v>0</v>
      </c>
      <c r="R425" s="402">
        <v>0</v>
      </c>
      <c r="S425" s="402">
        <v>0</v>
      </c>
      <c r="T425" s="402">
        <v>0</v>
      </c>
      <c r="U425" s="402">
        <v>0</v>
      </c>
      <c r="V425" s="402">
        <v>9114.1</v>
      </c>
      <c r="W425" s="402">
        <v>9114.1</v>
      </c>
      <c r="X425" s="402">
        <v>9114.1</v>
      </c>
      <c r="Y425" s="402">
        <v>9114.1</v>
      </c>
      <c r="Z425" s="402">
        <v>9114.1</v>
      </c>
      <c r="AA425" s="402">
        <v>45570.5</v>
      </c>
    </row>
    <row r="426" spans="10:27" ht="15" customHeight="1" x14ac:dyDescent="0.25">
      <c r="J426" s="400" t="s">
        <v>336</v>
      </c>
      <c r="K426" s="401" t="s">
        <v>1117</v>
      </c>
      <c r="L426" s="402" t="s">
        <v>1118</v>
      </c>
      <c r="M426" s="402">
        <v>75703.25</v>
      </c>
      <c r="N426" s="402">
        <v>175752</v>
      </c>
      <c r="O426" s="402">
        <v>0</v>
      </c>
      <c r="P426" s="402">
        <v>0</v>
      </c>
      <c r="Q426" s="402">
        <v>0</v>
      </c>
      <c r="R426" s="402">
        <v>0</v>
      </c>
      <c r="S426" s="402">
        <v>0</v>
      </c>
      <c r="T426" s="402">
        <v>0</v>
      </c>
      <c r="U426" s="402">
        <v>0</v>
      </c>
      <c r="V426" s="402">
        <v>15140.65</v>
      </c>
      <c r="W426" s="402">
        <v>15140.65</v>
      </c>
      <c r="X426" s="402">
        <v>15140.65</v>
      </c>
      <c r="Y426" s="402">
        <v>15140.65</v>
      </c>
      <c r="Z426" s="402">
        <v>15140.65</v>
      </c>
      <c r="AA426" s="402">
        <v>75703.25</v>
      </c>
    </row>
    <row r="427" spans="10:27" ht="15" customHeight="1" x14ac:dyDescent="0.2">
      <c r="J427" s="392" t="s">
        <v>336</v>
      </c>
      <c r="K427" s="399" t="s">
        <v>1119</v>
      </c>
      <c r="L427" s="392" t="s">
        <v>1120</v>
      </c>
      <c r="M427" s="393">
        <v>147051925.297263</v>
      </c>
      <c r="N427" s="393">
        <v>123938728.4606939</v>
      </c>
      <c r="O427" s="393">
        <v>10442764.939999999</v>
      </c>
      <c r="P427" s="393">
        <v>11509285.779999999</v>
      </c>
      <c r="Q427" s="393">
        <v>12633650.83</v>
      </c>
      <c r="R427" s="393">
        <v>13717258.199999999</v>
      </c>
      <c r="S427" s="393">
        <v>12993046.93</v>
      </c>
      <c r="T427" s="393">
        <v>13161275.619999999</v>
      </c>
      <c r="U427" s="393">
        <v>15025394.189999999</v>
      </c>
      <c r="V427" s="393">
        <v>10092891.422448801</v>
      </c>
      <c r="W427" s="393">
        <v>10688251.617366999</v>
      </c>
      <c r="X427" s="393">
        <v>11967870.7536061</v>
      </c>
      <c r="Y427" s="393">
        <v>13177283.483246399</v>
      </c>
      <c r="Z427" s="393">
        <v>11642951.530594699</v>
      </c>
      <c r="AA427" s="393">
        <v>147051925.297263</v>
      </c>
    </row>
    <row r="428" spans="10:27" ht="15" customHeight="1" x14ac:dyDescent="0.25">
      <c r="J428" s="400" t="s">
        <v>336</v>
      </c>
      <c r="K428" s="401" t="s">
        <v>1121</v>
      </c>
      <c r="L428" s="402" t="s">
        <v>1122</v>
      </c>
      <c r="M428" s="402">
        <v>2164318.15</v>
      </c>
      <c r="N428" s="402">
        <v>1242006.0160908999</v>
      </c>
      <c r="O428" s="402">
        <v>528371.22</v>
      </c>
      <c r="P428" s="402">
        <v>161032.56</v>
      </c>
      <c r="Q428" s="402">
        <v>403067.11</v>
      </c>
      <c r="R428" s="402">
        <v>270510.13</v>
      </c>
      <c r="S428" s="402">
        <v>343944.34</v>
      </c>
      <c r="T428" s="402">
        <v>273551.26</v>
      </c>
      <c r="U428" s="402">
        <v>183841.53</v>
      </c>
      <c r="V428" s="402">
        <v>0</v>
      </c>
      <c r="W428" s="402">
        <v>0</v>
      </c>
      <c r="X428" s="402">
        <v>0</v>
      </c>
      <c r="Y428" s="402">
        <v>0</v>
      </c>
      <c r="Z428" s="402">
        <v>0</v>
      </c>
      <c r="AA428" s="402">
        <v>2164318.15</v>
      </c>
    </row>
    <row r="429" spans="10:27" ht="15" customHeight="1" x14ac:dyDescent="0.25">
      <c r="J429" s="400" t="s">
        <v>336</v>
      </c>
      <c r="K429" s="401" t="s">
        <v>1123</v>
      </c>
      <c r="L429" s="402" t="s">
        <v>1124</v>
      </c>
      <c r="M429" s="402">
        <v>247389.8</v>
      </c>
      <c r="N429" s="402">
        <v>3009.0241357999998</v>
      </c>
      <c r="O429" s="402">
        <v>94189.8</v>
      </c>
      <c r="P429" s="402">
        <v>-15000</v>
      </c>
      <c r="Q429" s="402">
        <v>0</v>
      </c>
      <c r="R429" s="402">
        <v>0</v>
      </c>
      <c r="S429" s="402">
        <v>5700</v>
      </c>
      <c r="T429" s="402">
        <v>162500</v>
      </c>
      <c r="U429" s="402">
        <v>0</v>
      </c>
      <c r="V429" s="402">
        <v>0</v>
      </c>
      <c r="W429" s="402">
        <v>0</v>
      </c>
      <c r="X429" s="402">
        <v>0</v>
      </c>
      <c r="Y429" s="402">
        <v>0</v>
      </c>
      <c r="Z429" s="402">
        <v>0</v>
      </c>
      <c r="AA429" s="402">
        <v>247389.8</v>
      </c>
    </row>
    <row r="430" spans="10:27" ht="15" customHeight="1" x14ac:dyDescent="0.25">
      <c r="J430" s="400" t="s">
        <v>336</v>
      </c>
      <c r="K430" s="401" t="s">
        <v>1125</v>
      </c>
      <c r="L430" s="402" t="s">
        <v>1126</v>
      </c>
      <c r="M430" s="402">
        <v>32314663.600000001</v>
      </c>
      <c r="N430" s="402">
        <v>367249.92521389999</v>
      </c>
      <c r="O430" s="402">
        <v>4486819.66</v>
      </c>
      <c r="P430" s="402">
        <v>4179043.34</v>
      </c>
      <c r="Q430" s="402">
        <v>9096802.2300000004</v>
      </c>
      <c r="R430" s="402">
        <v>2534013.63</v>
      </c>
      <c r="S430" s="402">
        <v>5574852.8899999997</v>
      </c>
      <c r="T430" s="402">
        <v>2594125.12</v>
      </c>
      <c r="U430" s="402">
        <v>3849006.73</v>
      </c>
      <c r="V430" s="402">
        <v>0</v>
      </c>
      <c r="W430" s="402">
        <v>0</v>
      </c>
      <c r="X430" s="402">
        <v>0</v>
      </c>
      <c r="Y430" s="402">
        <v>0</v>
      </c>
      <c r="Z430" s="402">
        <v>0</v>
      </c>
      <c r="AA430" s="402">
        <v>32314663.600000001</v>
      </c>
    </row>
    <row r="431" spans="10:27" ht="15" customHeight="1" x14ac:dyDescent="0.25">
      <c r="J431" s="400" t="s">
        <v>336</v>
      </c>
      <c r="K431" s="401" t="s">
        <v>1127</v>
      </c>
      <c r="L431" s="402" t="s">
        <v>1128</v>
      </c>
      <c r="M431" s="402">
        <v>1039132.56</v>
      </c>
      <c r="N431" s="402">
        <v>115345.9252139</v>
      </c>
      <c r="O431" s="402">
        <v>114553.02</v>
      </c>
      <c r="P431" s="402">
        <v>191616.58</v>
      </c>
      <c r="Q431" s="402">
        <v>380234.17</v>
      </c>
      <c r="R431" s="402">
        <v>49752.46</v>
      </c>
      <c r="S431" s="402">
        <v>81965.69</v>
      </c>
      <c r="T431" s="402">
        <v>97202.18</v>
      </c>
      <c r="U431" s="402">
        <v>123808.46</v>
      </c>
      <c r="V431" s="402">
        <v>0</v>
      </c>
      <c r="W431" s="402">
        <v>0</v>
      </c>
      <c r="X431" s="402">
        <v>0</v>
      </c>
      <c r="Y431" s="402">
        <v>0</v>
      </c>
      <c r="Z431" s="402">
        <v>0</v>
      </c>
      <c r="AA431" s="402">
        <v>1039132.56</v>
      </c>
    </row>
    <row r="432" spans="10:27" ht="15" customHeight="1" x14ac:dyDescent="0.25">
      <c r="J432" s="400" t="s">
        <v>336</v>
      </c>
      <c r="K432" s="401" t="s">
        <v>1129</v>
      </c>
      <c r="L432" s="402" t="s">
        <v>1130</v>
      </c>
      <c r="M432" s="402">
        <v>1135552.6399999999</v>
      </c>
      <c r="N432" s="402">
        <v>1537999.9999997001</v>
      </c>
      <c r="O432" s="402">
        <v>16567</v>
      </c>
      <c r="P432" s="402">
        <v>166471.35999999999</v>
      </c>
      <c r="Q432" s="402">
        <v>490884.43</v>
      </c>
      <c r="R432" s="402">
        <v>124589.69</v>
      </c>
      <c r="S432" s="402">
        <v>230337.75</v>
      </c>
      <c r="T432" s="402">
        <v>45877.34</v>
      </c>
      <c r="U432" s="402">
        <v>60825.07</v>
      </c>
      <c r="V432" s="402">
        <v>0</v>
      </c>
      <c r="W432" s="402">
        <v>0</v>
      </c>
      <c r="X432" s="402">
        <v>0</v>
      </c>
      <c r="Y432" s="402">
        <v>0</v>
      </c>
      <c r="Z432" s="402">
        <v>0</v>
      </c>
      <c r="AA432" s="402">
        <v>1135552.6399999999</v>
      </c>
    </row>
    <row r="433" spans="10:27" ht="15" customHeight="1" x14ac:dyDescent="0.25">
      <c r="J433" s="400" t="s">
        <v>336</v>
      </c>
      <c r="K433" s="401" t="s">
        <v>1131</v>
      </c>
      <c r="L433" s="402" t="s">
        <v>1132</v>
      </c>
      <c r="M433" s="402">
        <v>1127730.3700000001</v>
      </c>
      <c r="N433" s="402">
        <v>133565</v>
      </c>
      <c r="O433" s="402">
        <v>152871</v>
      </c>
      <c r="P433" s="402">
        <v>134526.65</v>
      </c>
      <c r="Q433" s="402">
        <v>139974</v>
      </c>
      <c r="R433" s="402">
        <v>375343.81</v>
      </c>
      <c r="S433" s="402">
        <v>39810.5</v>
      </c>
      <c r="T433" s="402">
        <v>173746.74</v>
      </c>
      <c r="U433" s="402">
        <v>111457.67</v>
      </c>
      <c r="V433" s="402">
        <v>0</v>
      </c>
      <c r="W433" s="402">
        <v>0</v>
      </c>
      <c r="X433" s="402">
        <v>0</v>
      </c>
      <c r="Y433" s="402">
        <v>0</v>
      </c>
      <c r="Z433" s="402">
        <v>0</v>
      </c>
      <c r="AA433" s="402">
        <v>1127730.3700000001</v>
      </c>
    </row>
    <row r="434" spans="10:27" ht="15" customHeight="1" x14ac:dyDescent="0.25">
      <c r="J434" s="400" t="s">
        <v>336</v>
      </c>
      <c r="K434" s="401" t="s">
        <v>1133</v>
      </c>
      <c r="L434" s="402" t="s">
        <v>1134</v>
      </c>
      <c r="M434" s="402">
        <v>19077929.789999999</v>
      </c>
      <c r="N434" s="402">
        <v>3006511.0797183001</v>
      </c>
      <c r="O434" s="402">
        <v>-8605164.4700000007</v>
      </c>
      <c r="P434" s="402">
        <v>11686408.9</v>
      </c>
      <c r="Q434" s="402">
        <v>3401328.99</v>
      </c>
      <c r="R434" s="402">
        <v>3164259.83</v>
      </c>
      <c r="S434" s="402">
        <v>2778274.68</v>
      </c>
      <c r="T434" s="402">
        <v>3780135.65</v>
      </c>
      <c r="U434" s="402">
        <v>2872686.21</v>
      </c>
      <c r="V434" s="402">
        <v>0</v>
      </c>
      <c r="W434" s="402">
        <v>0</v>
      </c>
      <c r="X434" s="402">
        <v>0</v>
      </c>
      <c r="Y434" s="402">
        <v>0</v>
      </c>
      <c r="Z434" s="402">
        <v>0</v>
      </c>
      <c r="AA434" s="402">
        <v>19077929.789999999</v>
      </c>
    </row>
    <row r="435" spans="10:27" ht="15" customHeight="1" x14ac:dyDescent="0.25">
      <c r="J435" s="400" t="s">
        <v>336</v>
      </c>
      <c r="K435" s="401" t="s">
        <v>1135</v>
      </c>
      <c r="L435" s="402" t="s">
        <v>1136</v>
      </c>
      <c r="M435" s="402">
        <v>150454.64000000001</v>
      </c>
      <c r="N435" s="402">
        <v>260000</v>
      </c>
      <c r="O435" s="402">
        <v>-3996.87</v>
      </c>
      <c r="P435" s="402">
        <v>6143.75</v>
      </c>
      <c r="Q435" s="402">
        <v>46578.59</v>
      </c>
      <c r="R435" s="402">
        <v>31500</v>
      </c>
      <c r="S435" s="402">
        <v>16916.669999999998</v>
      </c>
      <c r="T435" s="402">
        <v>52681.25</v>
      </c>
      <c r="U435" s="402">
        <v>631.25</v>
      </c>
      <c r="V435" s="402">
        <v>0</v>
      </c>
      <c r="W435" s="402">
        <v>0</v>
      </c>
      <c r="X435" s="402">
        <v>0</v>
      </c>
      <c r="Y435" s="402">
        <v>0</v>
      </c>
      <c r="Z435" s="402">
        <v>0</v>
      </c>
      <c r="AA435" s="402">
        <v>150454.64000000001</v>
      </c>
    </row>
    <row r="436" spans="10:27" ht="15" customHeight="1" x14ac:dyDescent="0.25">
      <c r="J436" s="400" t="s">
        <v>336</v>
      </c>
      <c r="K436" s="401" t="s">
        <v>1137</v>
      </c>
      <c r="L436" s="402" t="s">
        <v>1138</v>
      </c>
      <c r="M436" s="402">
        <v>457588208.54324299</v>
      </c>
      <c r="N436" s="402">
        <v>19901295.2095006</v>
      </c>
      <c r="O436" s="402">
        <v>54609163.729999997</v>
      </c>
      <c r="P436" s="402">
        <v>30875570.859999999</v>
      </c>
      <c r="Q436" s="402">
        <v>68040565.75</v>
      </c>
      <c r="R436" s="402">
        <v>66147047.969999999</v>
      </c>
      <c r="S436" s="402">
        <v>75927875.959999993</v>
      </c>
      <c r="T436" s="402">
        <v>72117032.439999998</v>
      </c>
      <c r="U436" s="402">
        <v>89012022.700000003</v>
      </c>
      <c r="V436" s="402">
        <v>171785.82664859999</v>
      </c>
      <c r="W436" s="402">
        <v>171785.82664859999</v>
      </c>
      <c r="X436" s="402">
        <v>171785.82664859999</v>
      </c>
      <c r="Y436" s="402">
        <v>171785.82664859999</v>
      </c>
      <c r="Z436" s="402">
        <v>171785.82664859999</v>
      </c>
      <c r="AA436" s="402">
        <v>457588208.54324299</v>
      </c>
    </row>
    <row r="437" spans="10:27" ht="15" customHeight="1" x14ac:dyDescent="0.25">
      <c r="J437" s="400" t="s">
        <v>336</v>
      </c>
      <c r="K437" s="401" t="s">
        <v>1139</v>
      </c>
      <c r="L437" s="402" t="s">
        <v>1140</v>
      </c>
      <c r="M437" s="402">
        <v>0</v>
      </c>
      <c r="N437" s="402">
        <v>7021.0563175999996</v>
      </c>
      <c r="O437" s="402">
        <v>0</v>
      </c>
      <c r="P437" s="402">
        <v>0</v>
      </c>
      <c r="Q437" s="402">
        <v>0</v>
      </c>
      <c r="R437" s="402">
        <v>0</v>
      </c>
      <c r="S437" s="402">
        <v>0</v>
      </c>
      <c r="T437" s="402">
        <v>0</v>
      </c>
      <c r="U437" s="402">
        <v>0</v>
      </c>
      <c r="V437" s="402">
        <v>0</v>
      </c>
      <c r="W437" s="402">
        <v>0</v>
      </c>
      <c r="X437" s="402">
        <v>0</v>
      </c>
      <c r="Y437" s="402">
        <v>0</v>
      </c>
      <c r="Z437" s="402">
        <v>0</v>
      </c>
      <c r="AA437" s="402">
        <v>0</v>
      </c>
    </row>
    <row r="438" spans="10:27" ht="15" customHeight="1" x14ac:dyDescent="0.25">
      <c r="J438" s="400" t="s">
        <v>336</v>
      </c>
      <c r="K438" s="401" t="s">
        <v>1141</v>
      </c>
      <c r="L438" s="402" t="s">
        <v>1142</v>
      </c>
      <c r="M438" s="402">
        <v>77602.990000000005</v>
      </c>
      <c r="N438" s="402">
        <v>0</v>
      </c>
      <c r="O438" s="402">
        <v>5009</v>
      </c>
      <c r="P438" s="402">
        <v>850.12</v>
      </c>
      <c r="Q438" s="402">
        <v>3345.95</v>
      </c>
      <c r="R438" s="402">
        <v>4244.97</v>
      </c>
      <c r="S438" s="402">
        <v>1994.79</v>
      </c>
      <c r="T438" s="402">
        <v>49102.85</v>
      </c>
      <c r="U438" s="402">
        <v>13055.31</v>
      </c>
      <c r="V438" s="402">
        <v>0</v>
      </c>
      <c r="W438" s="402">
        <v>0</v>
      </c>
      <c r="X438" s="402">
        <v>0</v>
      </c>
      <c r="Y438" s="402">
        <v>0</v>
      </c>
      <c r="Z438" s="402">
        <v>0</v>
      </c>
      <c r="AA438" s="402">
        <v>77602.990000000005</v>
      </c>
    </row>
    <row r="439" spans="10:27" ht="15" customHeight="1" x14ac:dyDescent="0.25">
      <c r="J439" s="400" t="s">
        <v>336</v>
      </c>
      <c r="K439" s="401" t="s">
        <v>1143</v>
      </c>
      <c r="L439" s="402" t="s">
        <v>1144</v>
      </c>
      <c r="M439" s="402">
        <v>19778270.300000001</v>
      </c>
      <c r="N439" s="402">
        <v>0</v>
      </c>
      <c r="O439" s="402">
        <v>1822934.99</v>
      </c>
      <c r="P439" s="402">
        <v>2857597.93</v>
      </c>
      <c r="Q439" s="402">
        <v>3326698.45</v>
      </c>
      <c r="R439" s="402">
        <v>2447943.02</v>
      </c>
      <c r="S439" s="402">
        <v>2952315.47</v>
      </c>
      <c r="T439" s="402">
        <v>2471102.2599999998</v>
      </c>
      <c r="U439" s="402">
        <v>3899678.18</v>
      </c>
      <c r="V439" s="402">
        <v>0</v>
      </c>
      <c r="W439" s="402">
        <v>0</v>
      </c>
      <c r="X439" s="402">
        <v>0</v>
      </c>
      <c r="Y439" s="402">
        <v>0</v>
      </c>
      <c r="Z439" s="402">
        <v>0</v>
      </c>
      <c r="AA439" s="402">
        <v>19778270.300000001</v>
      </c>
    </row>
    <row r="440" spans="10:27" ht="15" customHeight="1" x14ac:dyDescent="0.25">
      <c r="J440" s="400" t="s">
        <v>336</v>
      </c>
      <c r="K440" s="401" t="s">
        <v>1145</v>
      </c>
      <c r="L440" s="402" t="s">
        <v>1146</v>
      </c>
      <c r="M440" s="402">
        <v>13418.38</v>
      </c>
      <c r="N440" s="402">
        <v>4609.0241358000003</v>
      </c>
      <c r="O440" s="402">
        <v>-2260.77</v>
      </c>
      <c r="P440" s="402">
        <v>3101.29</v>
      </c>
      <c r="Q440" s="402">
        <v>7843.87</v>
      </c>
      <c r="R440" s="402">
        <v>2038.98</v>
      </c>
      <c r="S440" s="402">
        <v>-11782.2</v>
      </c>
      <c r="T440" s="402">
        <v>8900.6299999999992</v>
      </c>
      <c r="U440" s="402">
        <v>5576.58</v>
      </c>
      <c r="V440" s="402">
        <v>0</v>
      </c>
      <c r="W440" s="402">
        <v>0</v>
      </c>
      <c r="X440" s="402">
        <v>0</v>
      </c>
      <c r="Y440" s="402">
        <v>0</v>
      </c>
      <c r="Z440" s="402">
        <v>0</v>
      </c>
      <c r="AA440" s="402">
        <v>13418.38</v>
      </c>
    </row>
    <row r="441" spans="10:27" ht="15" customHeight="1" x14ac:dyDescent="0.25">
      <c r="J441" s="400" t="s">
        <v>336</v>
      </c>
      <c r="K441" s="401" t="s">
        <v>1147</v>
      </c>
      <c r="L441" s="402" t="s">
        <v>1148</v>
      </c>
      <c r="M441" s="402">
        <v>2688472.37</v>
      </c>
      <c r="N441" s="402">
        <v>50150.402267400001</v>
      </c>
      <c r="O441" s="402">
        <v>338993.55</v>
      </c>
      <c r="P441" s="402">
        <v>526246.69999999995</v>
      </c>
      <c r="Q441" s="402">
        <v>376706.12</v>
      </c>
      <c r="R441" s="402">
        <v>456449.01</v>
      </c>
      <c r="S441" s="402">
        <v>300217.09999999998</v>
      </c>
      <c r="T441" s="402">
        <v>244983.73</v>
      </c>
      <c r="U441" s="402">
        <v>419876.16</v>
      </c>
      <c r="V441" s="402">
        <v>5000</v>
      </c>
      <c r="W441" s="402">
        <v>5000</v>
      </c>
      <c r="X441" s="402">
        <v>5000</v>
      </c>
      <c r="Y441" s="402">
        <v>5000</v>
      </c>
      <c r="Z441" s="402">
        <v>5000</v>
      </c>
      <c r="AA441" s="402">
        <v>2688472.37</v>
      </c>
    </row>
    <row r="442" spans="10:27" ht="15" customHeight="1" x14ac:dyDescent="0.25">
      <c r="J442" s="400" t="s">
        <v>336</v>
      </c>
      <c r="K442" s="401" t="s">
        <v>1149</v>
      </c>
      <c r="L442" s="402" t="s">
        <v>1150</v>
      </c>
      <c r="M442" s="402">
        <v>65028.160000000003</v>
      </c>
      <c r="N442" s="402">
        <v>25075.201133300001</v>
      </c>
      <c r="O442" s="402">
        <v>1860.02</v>
      </c>
      <c r="P442" s="402">
        <v>16439.71</v>
      </c>
      <c r="Q442" s="402">
        <v>525.51</v>
      </c>
      <c r="R442" s="402">
        <v>525.51</v>
      </c>
      <c r="S442" s="402">
        <v>15171.79</v>
      </c>
      <c r="T442" s="402">
        <v>13206.98</v>
      </c>
      <c r="U442" s="402">
        <v>17298.64</v>
      </c>
      <c r="V442" s="402">
        <v>0</v>
      </c>
      <c r="W442" s="402">
        <v>0</v>
      </c>
      <c r="X442" s="402">
        <v>0</v>
      </c>
      <c r="Y442" s="402">
        <v>0</v>
      </c>
      <c r="Z442" s="402">
        <v>0</v>
      </c>
      <c r="AA442" s="402">
        <v>65028.160000000003</v>
      </c>
    </row>
    <row r="443" spans="10:27" ht="15" customHeight="1" x14ac:dyDescent="0.25">
      <c r="J443" s="400" t="s">
        <v>336</v>
      </c>
      <c r="K443" s="401" t="s">
        <v>1151</v>
      </c>
      <c r="L443" s="402" t="s">
        <v>1152</v>
      </c>
      <c r="M443" s="402">
        <v>825519.26</v>
      </c>
      <c r="N443" s="402">
        <v>85255.683853399998</v>
      </c>
      <c r="O443" s="402">
        <v>30603.57</v>
      </c>
      <c r="P443" s="402">
        <v>655089.29</v>
      </c>
      <c r="Q443" s="402">
        <v>28237.599999999999</v>
      </c>
      <c r="R443" s="402">
        <v>8808.1</v>
      </c>
      <c r="S443" s="402">
        <v>70836.39</v>
      </c>
      <c r="T443" s="402">
        <v>9471.09</v>
      </c>
      <c r="U443" s="402">
        <v>22473.22</v>
      </c>
      <c r="V443" s="402">
        <v>0</v>
      </c>
      <c r="W443" s="402">
        <v>0</v>
      </c>
      <c r="X443" s="402">
        <v>0</v>
      </c>
      <c r="Y443" s="402">
        <v>0</v>
      </c>
      <c r="Z443" s="402">
        <v>0</v>
      </c>
      <c r="AA443" s="402">
        <v>825519.26</v>
      </c>
    </row>
    <row r="444" spans="10:27" ht="15" customHeight="1" x14ac:dyDescent="0.25">
      <c r="J444" s="400" t="s">
        <v>336</v>
      </c>
      <c r="K444" s="401" t="s">
        <v>1153</v>
      </c>
      <c r="L444" s="402" t="s">
        <v>1154</v>
      </c>
      <c r="M444" s="402">
        <v>14487772.41</v>
      </c>
      <c r="N444" s="402">
        <v>5835124.4139732998</v>
      </c>
      <c r="O444" s="402">
        <v>2836650.06</v>
      </c>
      <c r="P444" s="402">
        <v>623115.71</v>
      </c>
      <c r="Q444" s="402">
        <v>3580226.26</v>
      </c>
      <c r="R444" s="402">
        <v>2240992.96</v>
      </c>
      <c r="S444" s="402">
        <v>2553829.56</v>
      </c>
      <c r="T444" s="402">
        <v>951916.86</v>
      </c>
      <c r="U444" s="402">
        <v>1601041</v>
      </c>
      <c r="V444" s="402">
        <v>20000</v>
      </c>
      <c r="W444" s="402">
        <v>20000</v>
      </c>
      <c r="X444" s="402">
        <v>20000</v>
      </c>
      <c r="Y444" s="402">
        <v>20000</v>
      </c>
      <c r="Z444" s="402">
        <v>20000</v>
      </c>
      <c r="AA444" s="402">
        <v>14487772.41</v>
      </c>
    </row>
    <row r="445" spans="10:27" ht="15" customHeight="1" x14ac:dyDescent="0.25">
      <c r="J445" s="400" t="s">
        <v>336</v>
      </c>
      <c r="K445" s="401" t="s">
        <v>1155</v>
      </c>
      <c r="L445" s="402" t="s">
        <v>1156</v>
      </c>
      <c r="M445" s="402">
        <v>16000</v>
      </c>
      <c r="N445" s="402">
        <v>0</v>
      </c>
      <c r="O445" s="402">
        <v>0</v>
      </c>
      <c r="P445" s="402">
        <v>0</v>
      </c>
      <c r="Q445" s="402">
        <v>0</v>
      </c>
      <c r="R445" s="402">
        <v>0</v>
      </c>
      <c r="S445" s="402">
        <v>0</v>
      </c>
      <c r="T445" s="402">
        <v>16000</v>
      </c>
      <c r="U445" s="402">
        <v>0</v>
      </c>
      <c r="V445" s="402">
        <v>0</v>
      </c>
      <c r="W445" s="402">
        <v>0</v>
      </c>
      <c r="X445" s="402">
        <v>0</v>
      </c>
      <c r="Y445" s="402">
        <v>0</v>
      </c>
      <c r="Z445" s="402">
        <v>0</v>
      </c>
      <c r="AA445" s="402">
        <v>16000</v>
      </c>
    </row>
    <row r="446" spans="10:27" ht="15" customHeight="1" x14ac:dyDescent="0.25">
      <c r="J446" s="400" t="s">
        <v>336</v>
      </c>
      <c r="K446" s="401" t="s">
        <v>1157</v>
      </c>
      <c r="L446" s="402" t="s">
        <v>1158</v>
      </c>
      <c r="M446" s="402">
        <v>-213749.66</v>
      </c>
      <c r="N446" s="402">
        <v>-3352054.9812774002</v>
      </c>
      <c r="O446" s="402">
        <v>0</v>
      </c>
      <c r="P446" s="402">
        <v>-123660.45</v>
      </c>
      <c r="Q446" s="402">
        <v>0.16</v>
      </c>
      <c r="R446" s="402">
        <v>-107563.36</v>
      </c>
      <c r="S446" s="402">
        <v>-28215</v>
      </c>
      <c r="T446" s="402">
        <v>-104029.97</v>
      </c>
      <c r="U446" s="402">
        <v>89450.03</v>
      </c>
      <c r="V446" s="402">
        <v>60268.93</v>
      </c>
      <c r="W446" s="402">
        <v>0</v>
      </c>
      <c r="X446" s="402">
        <v>0</v>
      </c>
      <c r="Y446" s="402">
        <v>0</v>
      </c>
      <c r="Z446" s="402">
        <v>0</v>
      </c>
      <c r="AA446" s="402">
        <v>-213749.66</v>
      </c>
    </row>
    <row r="447" spans="10:27" ht="15" customHeight="1" x14ac:dyDescent="0.25">
      <c r="J447" s="400" t="s">
        <v>336</v>
      </c>
      <c r="K447" s="401" t="s">
        <v>1159</v>
      </c>
      <c r="L447" s="402" t="s">
        <v>1160</v>
      </c>
      <c r="M447" s="402">
        <v>-462056839.75</v>
      </c>
      <c r="N447" s="402">
        <v>0</v>
      </c>
      <c r="O447" s="402">
        <v>-45984399.57</v>
      </c>
      <c r="P447" s="402">
        <v>-40435308.520000003</v>
      </c>
      <c r="Q447" s="402">
        <v>-76689368.359999999</v>
      </c>
      <c r="R447" s="402">
        <v>-64033198.509999998</v>
      </c>
      <c r="S447" s="402">
        <v>-77860999.450000003</v>
      </c>
      <c r="T447" s="402">
        <v>-69796230.790000007</v>
      </c>
      <c r="U447" s="402">
        <v>-87257334.549999997</v>
      </c>
      <c r="V447" s="402">
        <v>0</v>
      </c>
      <c r="W447" s="402">
        <v>0</v>
      </c>
      <c r="X447" s="402">
        <v>0</v>
      </c>
      <c r="Y447" s="402">
        <v>0</v>
      </c>
      <c r="Z447" s="402">
        <v>0</v>
      </c>
      <c r="AA447" s="402">
        <v>-462056839.75</v>
      </c>
    </row>
    <row r="448" spans="10:27" ht="15" customHeight="1" x14ac:dyDescent="0.25">
      <c r="J448" s="400" t="s">
        <v>336</v>
      </c>
      <c r="K448" s="401" t="s">
        <v>1161</v>
      </c>
      <c r="L448" s="402" t="s">
        <v>1162</v>
      </c>
      <c r="M448" s="402">
        <v>0</v>
      </c>
      <c r="N448" s="402">
        <v>4585749.9999996005</v>
      </c>
      <c r="O448" s="402">
        <v>0</v>
      </c>
      <c r="P448" s="402">
        <v>0</v>
      </c>
      <c r="Q448" s="402">
        <v>0</v>
      </c>
      <c r="R448" s="402">
        <v>0</v>
      </c>
      <c r="S448" s="402">
        <v>0</v>
      </c>
      <c r="T448" s="402">
        <v>0</v>
      </c>
      <c r="U448" s="402">
        <v>0</v>
      </c>
      <c r="V448" s="402">
        <v>0</v>
      </c>
      <c r="W448" s="402">
        <v>0</v>
      </c>
      <c r="X448" s="402">
        <v>0</v>
      </c>
      <c r="Y448" s="402">
        <v>0</v>
      </c>
      <c r="Z448" s="402">
        <v>0</v>
      </c>
      <c r="AA448" s="402">
        <v>0</v>
      </c>
    </row>
    <row r="449" spans="10:27" ht="15" customHeight="1" x14ac:dyDescent="0.25">
      <c r="J449" s="400" t="s">
        <v>336</v>
      </c>
      <c r="K449" s="401" t="s">
        <v>1163</v>
      </c>
      <c r="L449" s="402" t="s">
        <v>1164</v>
      </c>
      <c r="M449" s="402">
        <v>7300</v>
      </c>
      <c r="N449" s="402">
        <v>3571612.2083991999</v>
      </c>
      <c r="O449" s="402">
        <v>0</v>
      </c>
      <c r="P449" s="402">
        <v>0</v>
      </c>
      <c r="Q449" s="402">
        <v>0</v>
      </c>
      <c r="R449" s="402">
        <v>0</v>
      </c>
      <c r="S449" s="402">
        <v>0</v>
      </c>
      <c r="T449" s="402">
        <v>0</v>
      </c>
      <c r="U449" s="402">
        <v>0</v>
      </c>
      <c r="V449" s="402">
        <v>2580</v>
      </c>
      <c r="W449" s="402">
        <v>1180</v>
      </c>
      <c r="X449" s="402">
        <v>1180</v>
      </c>
      <c r="Y449" s="402">
        <v>1180</v>
      </c>
      <c r="Z449" s="402">
        <v>1180</v>
      </c>
      <c r="AA449" s="402">
        <v>7300</v>
      </c>
    </row>
    <row r="450" spans="10:27" ht="15" customHeight="1" x14ac:dyDescent="0.25">
      <c r="J450" s="400" t="s">
        <v>336</v>
      </c>
      <c r="K450" s="401" t="s">
        <v>1165</v>
      </c>
      <c r="L450" s="402" t="s">
        <v>1166</v>
      </c>
      <c r="M450" s="402">
        <v>1556639.5757573</v>
      </c>
      <c r="N450" s="402">
        <v>148925</v>
      </c>
      <c r="O450" s="402">
        <v>0</v>
      </c>
      <c r="P450" s="402">
        <v>0</v>
      </c>
      <c r="Q450" s="402">
        <v>0</v>
      </c>
      <c r="R450" s="402">
        <v>0</v>
      </c>
      <c r="S450" s="402">
        <v>0</v>
      </c>
      <c r="T450" s="402">
        <v>0</v>
      </c>
      <c r="U450" s="402">
        <v>0</v>
      </c>
      <c r="V450" s="402">
        <v>140100.06060600001</v>
      </c>
      <c r="W450" s="402">
        <v>347600.06060600001</v>
      </c>
      <c r="X450" s="402">
        <v>245100.06060600001</v>
      </c>
      <c r="Y450" s="402">
        <v>271506.06060600001</v>
      </c>
      <c r="Z450" s="402">
        <v>552333.33333329996</v>
      </c>
      <c r="AA450" s="402">
        <v>1556639.5757573</v>
      </c>
    </row>
    <row r="451" spans="10:27" ht="15" customHeight="1" x14ac:dyDescent="0.25">
      <c r="J451" s="400" t="s">
        <v>336</v>
      </c>
      <c r="K451" s="401" t="s">
        <v>1167</v>
      </c>
      <c r="L451" s="402" t="s">
        <v>1168</v>
      </c>
      <c r="M451" s="402">
        <v>11134825.41</v>
      </c>
      <c r="N451" s="402">
        <v>27882990.920000002</v>
      </c>
      <c r="O451" s="402">
        <v>0</v>
      </c>
      <c r="P451" s="402">
        <v>0</v>
      </c>
      <c r="Q451" s="402">
        <v>0</v>
      </c>
      <c r="R451" s="402">
        <v>0</v>
      </c>
      <c r="S451" s="402">
        <v>0</v>
      </c>
      <c r="T451" s="402">
        <v>0</v>
      </c>
      <c r="U451" s="402">
        <v>0</v>
      </c>
      <c r="V451" s="402">
        <v>2433387.5299999998</v>
      </c>
      <c r="W451" s="402">
        <v>2071402.45</v>
      </c>
      <c r="X451" s="402">
        <v>2061402.45</v>
      </c>
      <c r="Y451" s="402">
        <v>2527230.5299999998</v>
      </c>
      <c r="Z451" s="402">
        <v>2041402.45</v>
      </c>
      <c r="AA451" s="402">
        <v>11134825.41</v>
      </c>
    </row>
    <row r="452" spans="10:27" ht="15" customHeight="1" x14ac:dyDescent="0.25">
      <c r="J452" s="400" t="s">
        <v>336</v>
      </c>
      <c r="K452" s="401" t="s">
        <v>1169</v>
      </c>
      <c r="L452" s="402" t="s">
        <v>1170</v>
      </c>
      <c r="M452" s="402">
        <v>8860502.5822051</v>
      </c>
      <c r="N452" s="402">
        <v>13633085.6553334</v>
      </c>
      <c r="O452" s="402">
        <v>0</v>
      </c>
      <c r="P452" s="402">
        <v>0</v>
      </c>
      <c r="Q452" s="402">
        <v>0</v>
      </c>
      <c r="R452" s="402">
        <v>0</v>
      </c>
      <c r="S452" s="402">
        <v>0</v>
      </c>
      <c r="T452" s="402">
        <v>0</v>
      </c>
      <c r="U452" s="402">
        <v>0</v>
      </c>
      <c r="V452" s="402">
        <v>1656621.8291076999</v>
      </c>
      <c r="W452" s="402">
        <v>1714349.4991077001</v>
      </c>
      <c r="X452" s="402">
        <v>1725505.522441</v>
      </c>
      <c r="Y452" s="402">
        <v>1775396.447441</v>
      </c>
      <c r="Z452" s="402">
        <v>1988629.2841077</v>
      </c>
      <c r="AA452" s="402">
        <v>8860502.5822051</v>
      </c>
    </row>
    <row r="453" spans="10:27" ht="15" customHeight="1" x14ac:dyDescent="0.25">
      <c r="J453" s="400" t="s">
        <v>336</v>
      </c>
      <c r="K453" s="401" t="s">
        <v>1171</v>
      </c>
      <c r="L453" s="402" t="s">
        <v>1172</v>
      </c>
      <c r="M453" s="402">
        <v>1396039.9</v>
      </c>
      <c r="N453" s="402">
        <v>1818045.66</v>
      </c>
      <c r="O453" s="402">
        <v>0</v>
      </c>
      <c r="P453" s="402">
        <v>0</v>
      </c>
      <c r="Q453" s="402">
        <v>0</v>
      </c>
      <c r="R453" s="402">
        <v>0</v>
      </c>
      <c r="S453" s="402">
        <v>0</v>
      </c>
      <c r="T453" s="402">
        <v>0</v>
      </c>
      <c r="U453" s="402">
        <v>0</v>
      </c>
      <c r="V453" s="402">
        <v>261573</v>
      </c>
      <c r="W453" s="402">
        <v>624380.6</v>
      </c>
      <c r="X453" s="402">
        <v>182951</v>
      </c>
      <c r="Y453" s="402">
        <v>101850.5</v>
      </c>
      <c r="Z453" s="402">
        <v>225284.8</v>
      </c>
      <c r="AA453" s="402">
        <v>1396039.9</v>
      </c>
    </row>
    <row r="454" spans="10:27" ht="15" customHeight="1" x14ac:dyDescent="0.25">
      <c r="J454" s="400" t="s">
        <v>336</v>
      </c>
      <c r="K454" s="401" t="s">
        <v>1173</v>
      </c>
      <c r="L454" s="402" t="s">
        <v>1174</v>
      </c>
      <c r="M454" s="402">
        <v>328800</v>
      </c>
      <c r="N454" s="402">
        <v>187500</v>
      </c>
      <c r="O454" s="402">
        <v>0</v>
      </c>
      <c r="P454" s="402">
        <v>0</v>
      </c>
      <c r="Q454" s="402">
        <v>0</v>
      </c>
      <c r="R454" s="402">
        <v>0</v>
      </c>
      <c r="S454" s="402">
        <v>0</v>
      </c>
      <c r="T454" s="402">
        <v>0</v>
      </c>
      <c r="U454" s="402">
        <v>0</v>
      </c>
      <c r="V454" s="402">
        <v>54600</v>
      </c>
      <c r="W454" s="402">
        <v>132100</v>
      </c>
      <c r="X454" s="402">
        <v>2500</v>
      </c>
      <c r="Y454" s="402">
        <v>132100</v>
      </c>
      <c r="Z454" s="402">
        <v>7500</v>
      </c>
      <c r="AA454" s="402">
        <v>328800</v>
      </c>
    </row>
    <row r="455" spans="10:27" ht="15" customHeight="1" x14ac:dyDescent="0.25">
      <c r="J455" s="400" t="s">
        <v>336</v>
      </c>
      <c r="K455" s="401" t="s">
        <v>1175</v>
      </c>
      <c r="L455" s="402" t="s">
        <v>1176</v>
      </c>
      <c r="M455" s="402">
        <v>300000</v>
      </c>
      <c r="N455" s="402">
        <v>0</v>
      </c>
      <c r="O455" s="402">
        <v>0</v>
      </c>
      <c r="P455" s="402">
        <v>0</v>
      </c>
      <c r="Q455" s="402">
        <v>0</v>
      </c>
      <c r="R455" s="402">
        <v>0</v>
      </c>
      <c r="S455" s="402">
        <v>0</v>
      </c>
      <c r="T455" s="402">
        <v>0</v>
      </c>
      <c r="U455" s="402">
        <v>0</v>
      </c>
      <c r="V455" s="402">
        <v>60000</v>
      </c>
      <c r="W455" s="402">
        <v>60000</v>
      </c>
      <c r="X455" s="402">
        <v>60000</v>
      </c>
      <c r="Y455" s="402">
        <v>60000</v>
      </c>
      <c r="Z455" s="402">
        <v>60000</v>
      </c>
      <c r="AA455" s="402">
        <v>300000</v>
      </c>
    </row>
    <row r="456" spans="10:27" ht="15" customHeight="1" x14ac:dyDescent="0.25">
      <c r="J456" s="400" t="s">
        <v>336</v>
      </c>
      <c r="K456" s="401" t="s">
        <v>1177</v>
      </c>
      <c r="L456" s="402" t="s">
        <v>1178</v>
      </c>
      <c r="M456" s="402">
        <v>252790.61743899999</v>
      </c>
      <c r="N456" s="402">
        <v>263000</v>
      </c>
      <c r="O456" s="402">
        <v>0</v>
      </c>
      <c r="P456" s="402">
        <v>0</v>
      </c>
      <c r="Q456" s="402">
        <v>0</v>
      </c>
      <c r="R456" s="402">
        <v>0</v>
      </c>
      <c r="S456" s="402">
        <v>0</v>
      </c>
      <c r="T456" s="402">
        <v>0</v>
      </c>
      <c r="U456" s="402">
        <v>0</v>
      </c>
      <c r="V456" s="402">
        <v>52084.448796999997</v>
      </c>
      <c r="W456" s="402">
        <v>59289.750313199998</v>
      </c>
      <c r="X456" s="402">
        <v>55448.217009699998</v>
      </c>
      <c r="Y456" s="402">
        <v>42434.241048600001</v>
      </c>
      <c r="Z456" s="402">
        <v>43533.9602705</v>
      </c>
      <c r="AA456" s="402">
        <v>252790.61743899999</v>
      </c>
    </row>
    <row r="457" spans="10:27" ht="15" customHeight="1" x14ac:dyDescent="0.25">
      <c r="J457" s="400" t="s">
        <v>336</v>
      </c>
      <c r="K457" s="401" t="s">
        <v>1179</v>
      </c>
      <c r="L457" s="402" t="s">
        <v>1180</v>
      </c>
      <c r="M457" s="402">
        <v>463660.11333349999</v>
      </c>
      <c r="N457" s="402">
        <v>1689333.0400004</v>
      </c>
      <c r="O457" s="402">
        <v>0</v>
      </c>
      <c r="P457" s="402">
        <v>0</v>
      </c>
      <c r="Q457" s="402">
        <v>0</v>
      </c>
      <c r="R457" s="402">
        <v>0</v>
      </c>
      <c r="S457" s="402">
        <v>0</v>
      </c>
      <c r="T457" s="402">
        <v>0</v>
      </c>
      <c r="U457" s="402">
        <v>0</v>
      </c>
      <c r="V457" s="402">
        <v>78557.756666700006</v>
      </c>
      <c r="W457" s="402">
        <v>78557.756666700006</v>
      </c>
      <c r="X457" s="402">
        <v>108557.08666669999</v>
      </c>
      <c r="Y457" s="402">
        <v>119429.75666670001</v>
      </c>
      <c r="Z457" s="402">
        <v>78557.756666700006</v>
      </c>
      <c r="AA457" s="402">
        <v>463660.11333349999</v>
      </c>
    </row>
    <row r="458" spans="10:27" ht="15" customHeight="1" x14ac:dyDescent="0.25">
      <c r="J458" s="400" t="s">
        <v>336</v>
      </c>
      <c r="K458" s="401" t="s">
        <v>1181</v>
      </c>
      <c r="L458" s="402" t="s">
        <v>1182</v>
      </c>
      <c r="M458" s="402">
        <v>3618547.4366664998</v>
      </c>
      <c r="N458" s="402">
        <v>354731.05346560001</v>
      </c>
      <c r="O458" s="402">
        <v>0</v>
      </c>
      <c r="P458" s="402">
        <v>0</v>
      </c>
      <c r="Q458" s="402">
        <v>0</v>
      </c>
      <c r="R458" s="402">
        <v>0</v>
      </c>
      <c r="S458" s="402">
        <v>0</v>
      </c>
      <c r="T458" s="402">
        <v>0</v>
      </c>
      <c r="U458" s="402">
        <v>0</v>
      </c>
      <c r="V458" s="402">
        <v>232382.86333329999</v>
      </c>
      <c r="W458" s="402">
        <v>731698.36333329999</v>
      </c>
      <c r="X458" s="402">
        <v>874624.40333330003</v>
      </c>
      <c r="Y458" s="402">
        <v>858294.40333330003</v>
      </c>
      <c r="Z458" s="402">
        <v>921547.40333330003</v>
      </c>
      <c r="AA458" s="402">
        <v>3618547.4366664998</v>
      </c>
    </row>
    <row r="459" spans="10:27" ht="15" customHeight="1" x14ac:dyDescent="0.25">
      <c r="J459" s="400" t="s">
        <v>336</v>
      </c>
      <c r="K459" s="401" t="s">
        <v>1183</v>
      </c>
      <c r="L459" s="402" t="s">
        <v>1184</v>
      </c>
      <c r="M459" s="402">
        <v>224000</v>
      </c>
      <c r="N459" s="402">
        <v>0</v>
      </c>
      <c r="O459" s="402">
        <v>0</v>
      </c>
      <c r="P459" s="402">
        <v>0</v>
      </c>
      <c r="Q459" s="402">
        <v>0</v>
      </c>
      <c r="R459" s="402">
        <v>0</v>
      </c>
      <c r="S459" s="402">
        <v>0</v>
      </c>
      <c r="T459" s="402">
        <v>0</v>
      </c>
      <c r="U459" s="402">
        <v>0</v>
      </c>
      <c r="V459" s="402">
        <v>42000</v>
      </c>
      <c r="W459" s="402">
        <v>47000</v>
      </c>
      <c r="X459" s="402">
        <v>55000</v>
      </c>
      <c r="Y459" s="402">
        <v>55000</v>
      </c>
      <c r="Z459" s="402">
        <v>25000</v>
      </c>
      <c r="AA459" s="402">
        <v>224000</v>
      </c>
    </row>
    <row r="460" spans="10:27" ht="15" customHeight="1" x14ac:dyDescent="0.25">
      <c r="J460" s="400" t="s">
        <v>336</v>
      </c>
      <c r="K460" s="401" t="s">
        <v>1185</v>
      </c>
      <c r="L460" s="402" t="s">
        <v>1186</v>
      </c>
      <c r="M460" s="402">
        <v>27097635.2058741</v>
      </c>
      <c r="N460" s="402">
        <v>38465736.803219199</v>
      </c>
      <c r="O460" s="402">
        <v>0</v>
      </c>
      <c r="P460" s="402">
        <v>0</v>
      </c>
      <c r="Q460" s="402">
        <v>0</v>
      </c>
      <c r="R460" s="402">
        <v>0</v>
      </c>
      <c r="S460" s="402">
        <v>0</v>
      </c>
      <c r="T460" s="402">
        <v>0</v>
      </c>
      <c r="U460" s="402">
        <v>0</v>
      </c>
      <c r="V460" s="402">
        <v>4566397.1967406003</v>
      </c>
      <c r="W460" s="402">
        <v>4368105.3301426005</v>
      </c>
      <c r="X460" s="402">
        <v>6143264.2063518995</v>
      </c>
      <c r="Y460" s="402">
        <v>6780523.7369533004</v>
      </c>
      <c r="Z460" s="402">
        <v>5239344.7356856996</v>
      </c>
      <c r="AA460" s="402">
        <v>27097635.2058741</v>
      </c>
    </row>
    <row r="461" spans="10:27" ht="15" customHeight="1" x14ac:dyDescent="0.25">
      <c r="J461" s="400" t="s">
        <v>336</v>
      </c>
      <c r="K461" s="401" t="s">
        <v>1187</v>
      </c>
      <c r="L461" s="402" t="s">
        <v>1188</v>
      </c>
      <c r="M461" s="402">
        <v>6243.8027444999998</v>
      </c>
      <c r="N461" s="402">
        <v>257314.7</v>
      </c>
      <c r="O461" s="402">
        <v>0</v>
      </c>
      <c r="P461" s="402">
        <v>0</v>
      </c>
      <c r="Q461" s="402">
        <v>0</v>
      </c>
      <c r="R461" s="402">
        <v>0</v>
      </c>
      <c r="S461" s="402">
        <v>0</v>
      </c>
      <c r="T461" s="402">
        <v>0</v>
      </c>
      <c r="U461" s="402">
        <v>0</v>
      </c>
      <c r="V461" s="402">
        <v>1138.7605489</v>
      </c>
      <c r="W461" s="402">
        <v>1388.7605489</v>
      </c>
      <c r="X461" s="402">
        <v>1138.7605489</v>
      </c>
      <c r="Y461" s="402">
        <v>1138.7605489</v>
      </c>
      <c r="Z461" s="402">
        <v>1438.7605489</v>
      </c>
      <c r="AA461" s="402">
        <v>6243.8027444999998</v>
      </c>
    </row>
    <row r="462" spans="10:27" ht="15" customHeight="1" x14ac:dyDescent="0.25">
      <c r="J462" s="400" t="s">
        <v>336</v>
      </c>
      <c r="K462" s="401" t="s">
        <v>1189</v>
      </c>
      <c r="L462" s="402" t="s">
        <v>1190</v>
      </c>
      <c r="M462" s="402">
        <v>1675000</v>
      </c>
      <c r="N462" s="402">
        <v>4072788</v>
      </c>
      <c r="O462" s="402">
        <v>0</v>
      </c>
      <c r="P462" s="402">
        <v>0</v>
      </c>
      <c r="Q462" s="402">
        <v>0</v>
      </c>
      <c r="R462" s="402">
        <v>0</v>
      </c>
      <c r="S462" s="402">
        <v>0</v>
      </c>
      <c r="T462" s="402">
        <v>0</v>
      </c>
      <c r="U462" s="402">
        <v>0</v>
      </c>
      <c r="V462" s="402">
        <v>335000</v>
      </c>
      <c r="W462" s="402">
        <v>335000</v>
      </c>
      <c r="X462" s="402">
        <v>335000</v>
      </c>
      <c r="Y462" s="402">
        <v>335000</v>
      </c>
      <c r="Z462" s="402">
        <v>335000</v>
      </c>
      <c r="AA462" s="402">
        <v>1675000</v>
      </c>
    </row>
    <row r="463" spans="10:27" ht="15" customHeight="1" x14ac:dyDescent="0.25">
      <c r="J463" s="400" t="s">
        <v>336</v>
      </c>
      <c r="K463" s="401" t="s">
        <v>1191</v>
      </c>
      <c r="L463" s="402" t="s">
        <v>1192</v>
      </c>
      <c r="M463" s="402">
        <v>0</v>
      </c>
      <c r="N463" s="402">
        <v>2400</v>
      </c>
      <c r="O463" s="402">
        <v>0</v>
      </c>
      <c r="P463" s="402">
        <v>0</v>
      </c>
      <c r="Q463" s="402">
        <v>0</v>
      </c>
      <c r="R463" s="402">
        <v>0</v>
      </c>
      <c r="S463" s="402">
        <v>0</v>
      </c>
      <c r="T463" s="402">
        <v>0</v>
      </c>
      <c r="U463" s="402">
        <v>0</v>
      </c>
      <c r="V463" s="402">
        <v>0</v>
      </c>
      <c r="W463" s="402">
        <v>0</v>
      </c>
      <c r="X463" s="402">
        <v>0</v>
      </c>
      <c r="Y463" s="402">
        <v>0</v>
      </c>
      <c r="Z463" s="402">
        <v>0</v>
      </c>
      <c r="AA463" s="402">
        <v>0</v>
      </c>
    </row>
    <row r="464" spans="10:27" ht="15" customHeight="1" x14ac:dyDescent="0.25">
      <c r="J464" s="400" t="s">
        <v>336</v>
      </c>
      <c r="K464" s="401" t="s">
        <v>1193</v>
      </c>
      <c r="L464" s="402" t="s">
        <v>1194</v>
      </c>
      <c r="M464" s="402">
        <v>3653.7</v>
      </c>
      <c r="N464" s="402">
        <v>0</v>
      </c>
      <c r="O464" s="402">
        <v>0</v>
      </c>
      <c r="P464" s="402">
        <v>0</v>
      </c>
      <c r="Q464" s="402">
        <v>0</v>
      </c>
      <c r="R464" s="402">
        <v>0</v>
      </c>
      <c r="S464" s="402">
        <v>0</v>
      </c>
      <c r="T464" s="402">
        <v>0</v>
      </c>
      <c r="U464" s="402">
        <v>0</v>
      </c>
      <c r="V464" s="402">
        <v>730.74</v>
      </c>
      <c r="W464" s="402">
        <v>730.74</v>
      </c>
      <c r="X464" s="402">
        <v>730.74</v>
      </c>
      <c r="Y464" s="402">
        <v>730.74</v>
      </c>
      <c r="Z464" s="402">
        <v>730.74</v>
      </c>
      <c r="AA464" s="402">
        <v>3653.7</v>
      </c>
    </row>
    <row r="465" spans="10:27" ht="15" customHeight="1" x14ac:dyDescent="0.25">
      <c r="J465" s="400" t="s">
        <v>336</v>
      </c>
      <c r="K465" s="401" t="s">
        <v>1195</v>
      </c>
      <c r="L465" s="402" t="s">
        <v>1196</v>
      </c>
      <c r="M465" s="402">
        <v>-400587.6</v>
      </c>
      <c r="N465" s="402">
        <v>-2216647.56</v>
      </c>
      <c r="O465" s="402">
        <v>0</v>
      </c>
      <c r="P465" s="402">
        <v>0</v>
      </c>
      <c r="Q465" s="402">
        <v>0</v>
      </c>
      <c r="R465" s="402">
        <v>0</v>
      </c>
      <c r="S465" s="402">
        <v>0</v>
      </c>
      <c r="T465" s="402">
        <v>0</v>
      </c>
      <c r="U465" s="402">
        <v>0</v>
      </c>
      <c r="V465" s="402">
        <v>-81317.52</v>
      </c>
      <c r="W465" s="402">
        <v>-81317.52</v>
      </c>
      <c r="X465" s="402">
        <v>-81317.52</v>
      </c>
      <c r="Y465" s="402">
        <v>-81317.52</v>
      </c>
      <c r="Z465" s="402">
        <v>-75317.52</v>
      </c>
      <c r="AA465" s="402">
        <v>-400587.6</v>
      </c>
    </row>
    <row r="466" spans="10:27" ht="15" customHeight="1" x14ac:dyDescent="0.2">
      <c r="J466" s="392" t="s">
        <v>336</v>
      </c>
      <c r="K466" s="399" t="s">
        <v>1197</v>
      </c>
      <c r="L466" s="392" t="s">
        <v>1198</v>
      </c>
      <c r="M466" s="393">
        <v>-16356462.66</v>
      </c>
      <c r="N466" s="393">
        <v>-19673307.082015399</v>
      </c>
      <c r="O466" s="393">
        <v>-1224729.25</v>
      </c>
      <c r="P466" s="393">
        <v>-1115968.6399999999</v>
      </c>
      <c r="Q466" s="393">
        <v>-1168953.7</v>
      </c>
      <c r="R466" s="393">
        <v>-1146885.96</v>
      </c>
      <c r="S466" s="393">
        <v>-1158449.27</v>
      </c>
      <c r="T466" s="393">
        <v>-1187240.6200000001</v>
      </c>
      <c r="U466" s="393">
        <v>-1158399.1399999999</v>
      </c>
      <c r="V466" s="393">
        <v>-1633161.24</v>
      </c>
      <c r="W466" s="393">
        <v>-1633161.24</v>
      </c>
      <c r="X466" s="393">
        <v>-1632536.24</v>
      </c>
      <c r="Y466" s="393">
        <v>-1633081.24</v>
      </c>
      <c r="Z466" s="393">
        <v>-1663896.12</v>
      </c>
      <c r="AA466" s="393">
        <v>-16356462.66</v>
      </c>
    </row>
    <row r="467" spans="10:27" ht="15" customHeight="1" x14ac:dyDescent="0.25">
      <c r="J467" s="400" t="s">
        <v>336</v>
      </c>
      <c r="K467" s="401" t="s">
        <v>1199</v>
      </c>
      <c r="L467" s="402" t="s">
        <v>1200</v>
      </c>
      <c r="M467" s="402">
        <v>-478617.26</v>
      </c>
      <c r="N467" s="402">
        <v>137221</v>
      </c>
      <c r="O467" s="402">
        <v>-68886.17</v>
      </c>
      <c r="P467" s="402">
        <v>-68884.320000000007</v>
      </c>
      <c r="Q467" s="402">
        <v>-69018.929999999993</v>
      </c>
      <c r="R467" s="402">
        <v>-68266.350000000006</v>
      </c>
      <c r="S467" s="402">
        <v>-66200.160000000003</v>
      </c>
      <c r="T467" s="402">
        <v>-68905.95</v>
      </c>
      <c r="U467" s="402">
        <v>-68455.38</v>
      </c>
      <c r="V467" s="402">
        <v>0</v>
      </c>
      <c r="W467" s="402">
        <v>0</v>
      </c>
      <c r="X467" s="402">
        <v>0</v>
      </c>
      <c r="Y467" s="402">
        <v>0</v>
      </c>
      <c r="Z467" s="402">
        <v>0</v>
      </c>
      <c r="AA467" s="402">
        <v>-478617.26</v>
      </c>
    </row>
    <row r="468" spans="10:27" ht="15" customHeight="1" x14ac:dyDescent="0.25">
      <c r="J468" s="400" t="s">
        <v>336</v>
      </c>
      <c r="K468" s="401" t="s">
        <v>1201</v>
      </c>
      <c r="L468" s="402" t="s">
        <v>1202</v>
      </c>
      <c r="M468" s="402">
        <v>0</v>
      </c>
      <c r="N468" s="402">
        <v>600</v>
      </c>
      <c r="O468" s="402">
        <v>0</v>
      </c>
      <c r="P468" s="402">
        <v>0</v>
      </c>
      <c r="Q468" s="402">
        <v>0</v>
      </c>
      <c r="R468" s="402">
        <v>0</v>
      </c>
      <c r="S468" s="402">
        <v>0</v>
      </c>
      <c r="T468" s="402">
        <v>0</v>
      </c>
      <c r="U468" s="402">
        <v>0</v>
      </c>
      <c r="V468" s="402">
        <v>0</v>
      </c>
      <c r="W468" s="402">
        <v>0</v>
      </c>
      <c r="X468" s="402">
        <v>0</v>
      </c>
      <c r="Y468" s="402">
        <v>0</v>
      </c>
      <c r="Z468" s="402">
        <v>0</v>
      </c>
      <c r="AA468" s="402">
        <v>0</v>
      </c>
    </row>
    <row r="469" spans="10:27" ht="15" customHeight="1" x14ac:dyDescent="0.25">
      <c r="J469" s="400" t="s">
        <v>336</v>
      </c>
      <c r="K469" s="401" t="s">
        <v>1203</v>
      </c>
      <c r="L469" s="402" t="s">
        <v>1204</v>
      </c>
      <c r="M469" s="402">
        <v>3338296.78</v>
      </c>
      <c r="N469" s="402">
        <v>0</v>
      </c>
      <c r="O469" s="402">
        <v>472239.28</v>
      </c>
      <c r="P469" s="402">
        <v>472468.67</v>
      </c>
      <c r="Q469" s="402">
        <v>472405.52</v>
      </c>
      <c r="R469" s="402">
        <v>472320.92</v>
      </c>
      <c r="S469" s="402">
        <v>481251.59</v>
      </c>
      <c r="T469" s="402">
        <v>481485.29</v>
      </c>
      <c r="U469" s="402">
        <v>486125.51</v>
      </c>
      <c r="V469" s="402">
        <v>0</v>
      </c>
      <c r="W469" s="402">
        <v>0</v>
      </c>
      <c r="X469" s="402">
        <v>0</v>
      </c>
      <c r="Y469" s="402">
        <v>0</v>
      </c>
      <c r="Z469" s="402">
        <v>0</v>
      </c>
      <c r="AA469" s="402">
        <v>3338296.78</v>
      </c>
    </row>
    <row r="470" spans="10:27" ht="15" customHeight="1" x14ac:dyDescent="0.25">
      <c r="J470" s="400" t="s">
        <v>336</v>
      </c>
      <c r="K470" s="401" t="s">
        <v>1205</v>
      </c>
      <c r="L470" s="402" t="s">
        <v>1206</v>
      </c>
      <c r="M470" s="402">
        <v>-11020306.1</v>
      </c>
      <c r="N470" s="402">
        <v>0</v>
      </c>
      <c r="O470" s="402">
        <v>-1628082.36</v>
      </c>
      <c r="P470" s="402">
        <v>-1519552.99</v>
      </c>
      <c r="Q470" s="402">
        <v>-1572340.29</v>
      </c>
      <c r="R470" s="402">
        <v>-1550940.53</v>
      </c>
      <c r="S470" s="402">
        <v>-1573500.7</v>
      </c>
      <c r="T470" s="402">
        <v>-1599819.96</v>
      </c>
      <c r="U470" s="402">
        <v>-1576069.27</v>
      </c>
      <c r="V470" s="402">
        <v>0</v>
      </c>
      <c r="W470" s="402">
        <v>0</v>
      </c>
      <c r="X470" s="402">
        <v>0</v>
      </c>
      <c r="Y470" s="402">
        <v>0</v>
      </c>
      <c r="Z470" s="402">
        <v>0</v>
      </c>
      <c r="AA470" s="402">
        <v>-11020306.1</v>
      </c>
    </row>
    <row r="471" spans="10:27" ht="15" customHeight="1" x14ac:dyDescent="0.25">
      <c r="J471" s="400" t="s">
        <v>336</v>
      </c>
      <c r="K471" s="401" t="s">
        <v>1207</v>
      </c>
      <c r="L471" s="402" t="s">
        <v>1208</v>
      </c>
      <c r="M471" s="402">
        <v>0</v>
      </c>
      <c r="N471" s="402">
        <v>4496.04</v>
      </c>
      <c r="O471" s="402">
        <v>0</v>
      </c>
      <c r="P471" s="402">
        <v>0</v>
      </c>
      <c r="Q471" s="402">
        <v>0</v>
      </c>
      <c r="R471" s="402">
        <v>0</v>
      </c>
      <c r="S471" s="402">
        <v>0</v>
      </c>
      <c r="T471" s="402">
        <v>0</v>
      </c>
      <c r="U471" s="402">
        <v>0</v>
      </c>
      <c r="V471" s="402">
        <v>0</v>
      </c>
      <c r="W471" s="402">
        <v>0</v>
      </c>
      <c r="X471" s="402">
        <v>0</v>
      </c>
      <c r="Y471" s="402">
        <v>0</v>
      </c>
      <c r="Z471" s="402">
        <v>0</v>
      </c>
      <c r="AA471" s="402">
        <v>0</v>
      </c>
    </row>
    <row r="472" spans="10:27" ht="15" customHeight="1" x14ac:dyDescent="0.25">
      <c r="J472" s="400" t="s">
        <v>336</v>
      </c>
      <c r="K472" s="401" t="s">
        <v>1209</v>
      </c>
      <c r="L472" s="402" t="s">
        <v>1210</v>
      </c>
      <c r="M472" s="402">
        <v>-8195970.0499999998</v>
      </c>
      <c r="N472" s="402">
        <v>-19815624.122015402</v>
      </c>
      <c r="O472" s="402">
        <v>0</v>
      </c>
      <c r="P472" s="402">
        <v>0</v>
      </c>
      <c r="Q472" s="402">
        <v>0</v>
      </c>
      <c r="R472" s="402">
        <v>0</v>
      </c>
      <c r="S472" s="402">
        <v>0</v>
      </c>
      <c r="T472" s="402">
        <v>0</v>
      </c>
      <c r="U472" s="402">
        <v>0</v>
      </c>
      <c r="V472" s="402">
        <v>-1639325.01</v>
      </c>
      <c r="W472" s="402">
        <v>-1639325.01</v>
      </c>
      <c r="X472" s="402">
        <v>-1638700.01</v>
      </c>
      <c r="Y472" s="402">
        <v>-1639245.01</v>
      </c>
      <c r="Z472" s="402">
        <v>-1639375.01</v>
      </c>
      <c r="AA472" s="402">
        <v>-8195970.0499999998</v>
      </c>
    </row>
    <row r="473" spans="10:27" ht="15" customHeight="1" x14ac:dyDescent="0.25">
      <c r="J473" s="400" t="s">
        <v>336</v>
      </c>
      <c r="K473" s="401" t="s">
        <v>1211</v>
      </c>
      <c r="L473" s="402" t="s">
        <v>1212</v>
      </c>
      <c r="M473" s="402">
        <v>750</v>
      </c>
      <c r="N473" s="402">
        <v>0</v>
      </c>
      <c r="O473" s="402">
        <v>0</v>
      </c>
      <c r="P473" s="402">
        <v>0</v>
      </c>
      <c r="Q473" s="402">
        <v>0</v>
      </c>
      <c r="R473" s="402">
        <v>0</v>
      </c>
      <c r="S473" s="402">
        <v>0</v>
      </c>
      <c r="T473" s="402">
        <v>0</v>
      </c>
      <c r="U473" s="402">
        <v>0</v>
      </c>
      <c r="V473" s="402">
        <v>150</v>
      </c>
      <c r="W473" s="402">
        <v>150</v>
      </c>
      <c r="X473" s="402">
        <v>150</v>
      </c>
      <c r="Y473" s="402">
        <v>150</v>
      </c>
      <c r="Z473" s="402">
        <v>150</v>
      </c>
      <c r="AA473" s="402">
        <v>750</v>
      </c>
    </row>
    <row r="474" spans="10:27" ht="15" customHeight="1" x14ac:dyDescent="0.25">
      <c r="J474" s="400" t="s">
        <v>336</v>
      </c>
      <c r="K474" s="401" t="s">
        <v>1213</v>
      </c>
      <c r="L474" s="402" t="s">
        <v>1214</v>
      </c>
      <c r="M474" s="402">
        <v>-616.03</v>
      </c>
      <c r="N474" s="402">
        <v>0</v>
      </c>
      <c r="O474" s="402">
        <v>0</v>
      </c>
      <c r="P474" s="402">
        <v>0</v>
      </c>
      <c r="Q474" s="402">
        <v>0</v>
      </c>
      <c r="R474" s="402">
        <v>0</v>
      </c>
      <c r="S474" s="402">
        <v>0</v>
      </c>
      <c r="T474" s="402">
        <v>0</v>
      </c>
      <c r="U474" s="402">
        <v>0</v>
      </c>
      <c r="V474" s="402">
        <v>6013.77</v>
      </c>
      <c r="W474" s="402">
        <v>6013.77</v>
      </c>
      <c r="X474" s="402">
        <v>6013.77</v>
      </c>
      <c r="Y474" s="402">
        <v>6013.77</v>
      </c>
      <c r="Z474" s="402">
        <v>-24671.11</v>
      </c>
      <c r="AA474" s="402">
        <v>-616.03</v>
      </c>
    </row>
    <row r="475" spans="10:27" ht="15" customHeight="1" x14ac:dyDescent="0.2">
      <c r="J475" s="392" t="s">
        <v>336</v>
      </c>
      <c r="K475" s="399" t="s">
        <v>1215</v>
      </c>
      <c r="L475" s="392" t="s">
        <v>1216</v>
      </c>
      <c r="M475" s="393">
        <v>4750361.1725099999</v>
      </c>
      <c r="N475" s="393">
        <v>5444166.6141986996</v>
      </c>
      <c r="O475" s="393">
        <v>525270.47</v>
      </c>
      <c r="P475" s="393">
        <v>434355.59</v>
      </c>
      <c r="Q475" s="393">
        <v>505114.39</v>
      </c>
      <c r="R475" s="393">
        <v>375902.92</v>
      </c>
      <c r="S475" s="393">
        <v>436391.12</v>
      </c>
      <c r="T475" s="393">
        <v>432998.59</v>
      </c>
      <c r="U475" s="393">
        <v>478475.36</v>
      </c>
      <c r="V475" s="393">
        <v>296889.49050199997</v>
      </c>
      <c r="W475" s="393">
        <v>315889.49050199997</v>
      </c>
      <c r="X475" s="393">
        <v>317139.49050199997</v>
      </c>
      <c r="Y475" s="393">
        <v>315889.49050199997</v>
      </c>
      <c r="Z475" s="393">
        <v>316044.770502</v>
      </c>
      <c r="AA475" s="393">
        <v>4750361.1725099999</v>
      </c>
    </row>
    <row r="476" spans="10:27" ht="15" customHeight="1" x14ac:dyDescent="0.25">
      <c r="J476" s="400" t="s">
        <v>336</v>
      </c>
      <c r="K476" s="401" t="s">
        <v>1217</v>
      </c>
      <c r="L476" s="402" t="s">
        <v>1218</v>
      </c>
      <c r="M476" s="402">
        <v>5040.12</v>
      </c>
      <c r="N476" s="402">
        <v>0</v>
      </c>
      <c r="O476" s="402">
        <v>484.83</v>
      </c>
      <c r="P476" s="402">
        <v>0</v>
      </c>
      <c r="Q476" s="402">
        <v>927.81</v>
      </c>
      <c r="R476" s="402">
        <v>0</v>
      </c>
      <c r="S476" s="402">
        <v>524.55999999999995</v>
      </c>
      <c r="T476" s="402">
        <v>421.07</v>
      </c>
      <c r="U476" s="402">
        <v>2681.85</v>
      </c>
      <c r="V476" s="402">
        <v>0</v>
      </c>
      <c r="W476" s="402">
        <v>0</v>
      </c>
      <c r="X476" s="402">
        <v>0</v>
      </c>
      <c r="Y476" s="402">
        <v>0</v>
      </c>
      <c r="Z476" s="402">
        <v>0</v>
      </c>
      <c r="AA476" s="402">
        <v>5040.12</v>
      </c>
    </row>
    <row r="477" spans="10:27" ht="15" customHeight="1" x14ac:dyDescent="0.25">
      <c r="J477" s="400" t="s">
        <v>336</v>
      </c>
      <c r="K477" s="401" t="s">
        <v>1219</v>
      </c>
      <c r="L477" s="402" t="s">
        <v>1220</v>
      </c>
      <c r="M477" s="402">
        <v>985.68</v>
      </c>
      <c r="N477" s="402">
        <v>0</v>
      </c>
      <c r="O477" s="402">
        <v>459.58</v>
      </c>
      <c r="P477" s="402">
        <v>0</v>
      </c>
      <c r="Q477" s="402">
        <v>175.2</v>
      </c>
      <c r="R477" s="402">
        <v>90.18</v>
      </c>
      <c r="S477" s="402">
        <v>87.68</v>
      </c>
      <c r="T477" s="402">
        <v>86.52</v>
      </c>
      <c r="U477" s="402">
        <v>86.52</v>
      </c>
      <c r="V477" s="402">
        <v>0</v>
      </c>
      <c r="W477" s="402">
        <v>0</v>
      </c>
      <c r="X477" s="402">
        <v>0</v>
      </c>
      <c r="Y477" s="402">
        <v>0</v>
      </c>
      <c r="Z477" s="402">
        <v>0</v>
      </c>
      <c r="AA477" s="402">
        <v>985.68</v>
      </c>
    </row>
    <row r="478" spans="10:27" ht="15" customHeight="1" x14ac:dyDescent="0.25">
      <c r="J478" s="400" t="s">
        <v>336</v>
      </c>
      <c r="K478" s="401" t="s">
        <v>1221</v>
      </c>
      <c r="L478" s="402" t="s">
        <v>1222</v>
      </c>
      <c r="M478" s="402">
        <v>1868986.86</v>
      </c>
      <c r="N478" s="402">
        <v>689520.86810630001</v>
      </c>
      <c r="O478" s="402">
        <v>242117.57</v>
      </c>
      <c r="P478" s="402">
        <v>254412.73</v>
      </c>
      <c r="Q478" s="402">
        <v>281833.71999999997</v>
      </c>
      <c r="R478" s="402">
        <v>280952.06</v>
      </c>
      <c r="S478" s="402">
        <v>268853.38</v>
      </c>
      <c r="T478" s="402">
        <v>261579.61</v>
      </c>
      <c r="U478" s="402">
        <v>276237.78999999998</v>
      </c>
      <c r="V478" s="402">
        <v>600</v>
      </c>
      <c r="W478" s="402">
        <v>600</v>
      </c>
      <c r="X478" s="402">
        <v>600</v>
      </c>
      <c r="Y478" s="402">
        <v>600</v>
      </c>
      <c r="Z478" s="402">
        <v>600</v>
      </c>
      <c r="AA478" s="402">
        <v>1868986.86</v>
      </c>
    </row>
    <row r="479" spans="10:27" ht="15" customHeight="1" x14ac:dyDescent="0.25">
      <c r="J479" s="400" t="s">
        <v>336</v>
      </c>
      <c r="K479" s="401" t="s">
        <v>1223</v>
      </c>
      <c r="L479" s="402" t="s">
        <v>1224</v>
      </c>
      <c r="M479" s="402">
        <v>227439.32</v>
      </c>
      <c r="N479" s="402">
        <v>802406.43627039995</v>
      </c>
      <c r="O479" s="402">
        <v>42479.19</v>
      </c>
      <c r="P479" s="402">
        <v>44937.06</v>
      </c>
      <c r="Q479" s="402">
        <v>29657.14</v>
      </c>
      <c r="R479" s="402">
        <v>23464.49</v>
      </c>
      <c r="S479" s="402">
        <v>16101.46</v>
      </c>
      <c r="T479" s="402">
        <v>41868.76</v>
      </c>
      <c r="U479" s="402">
        <v>28931.22</v>
      </c>
      <c r="V479" s="402">
        <v>0</v>
      </c>
      <c r="W479" s="402">
        <v>0</v>
      </c>
      <c r="X479" s="402">
        <v>0</v>
      </c>
      <c r="Y479" s="402">
        <v>0</v>
      </c>
      <c r="Z479" s="402">
        <v>0</v>
      </c>
      <c r="AA479" s="402">
        <v>227439.32</v>
      </c>
    </row>
    <row r="480" spans="10:27" ht="15" customHeight="1" x14ac:dyDescent="0.25">
      <c r="J480" s="400" t="s">
        <v>336</v>
      </c>
      <c r="K480" s="401" t="s">
        <v>1225</v>
      </c>
      <c r="L480" s="402" t="s">
        <v>1226</v>
      </c>
      <c r="M480" s="402">
        <v>1288648.19</v>
      </c>
      <c r="N480" s="402">
        <v>386882.89632160001</v>
      </c>
      <c r="O480" s="402">
        <v>240103.57</v>
      </c>
      <c r="P480" s="402">
        <v>158077.92000000001</v>
      </c>
      <c r="Q480" s="402">
        <v>356228.14</v>
      </c>
      <c r="R480" s="402">
        <v>84235.08</v>
      </c>
      <c r="S480" s="402">
        <v>160495.46</v>
      </c>
      <c r="T480" s="402">
        <v>136171.04999999999</v>
      </c>
      <c r="U480" s="402">
        <v>153336.97</v>
      </c>
      <c r="V480" s="402">
        <v>0</v>
      </c>
      <c r="W480" s="402">
        <v>0</v>
      </c>
      <c r="X480" s="402">
        <v>0</v>
      </c>
      <c r="Y480" s="402">
        <v>0</v>
      </c>
      <c r="Z480" s="402">
        <v>0</v>
      </c>
      <c r="AA480" s="402">
        <v>1288648.19</v>
      </c>
    </row>
    <row r="481" spans="10:27" ht="15" customHeight="1" x14ac:dyDescent="0.25">
      <c r="J481" s="400" t="s">
        <v>336</v>
      </c>
      <c r="K481" s="401" t="s">
        <v>1227</v>
      </c>
      <c r="L481" s="402" t="s">
        <v>1228</v>
      </c>
      <c r="M481" s="402">
        <v>52975.01</v>
      </c>
      <c r="N481" s="402">
        <v>457632</v>
      </c>
      <c r="O481" s="402">
        <v>7331.98</v>
      </c>
      <c r="P481" s="402">
        <v>9249.5400000000009</v>
      </c>
      <c r="Q481" s="402">
        <v>6149.76</v>
      </c>
      <c r="R481" s="402">
        <v>8710.99</v>
      </c>
      <c r="S481" s="402">
        <v>5946.93</v>
      </c>
      <c r="T481" s="402">
        <v>6845.18</v>
      </c>
      <c r="U481" s="402">
        <v>6240.63</v>
      </c>
      <c r="V481" s="402">
        <v>500</v>
      </c>
      <c r="W481" s="402">
        <v>500</v>
      </c>
      <c r="X481" s="402">
        <v>500</v>
      </c>
      <c r="Y481" s="402">
        <v>500</v>
      </c>
      <c r="Z481" s="402">
        <v>500</v>
      </c>
      <c r="AA481" s="402">
        <v>52975.01</v>
      </c>
    </row>
    <row r="482" spans="10:27" ht="15" customHeight="1" x14ac:dyDescent="0.25">
      <c r="J482" s="400" t="s">
        <v>336</v>
      </c>
      <c r="K482" s="401" t="s">
        <v>1229</v>
      </c>
      <c r="L482" s="402" t="s">
        <v>1230</v>
      </c>
      <c r="M482" s="402">
        <v>-250066.74</v>
      </c>
      <c r="N482" s="402">
        <v>0</v>
      </c>
      <c r="O482" s="402">
        <v>-7706.25</v>
      </c>
      <c r="P482" s="402">
        <v>-32321.66</v>
      </c>
      <c r="Q482" s="402">
        <v>-169857.38</v>
      </c>
      <c r="R482" s="402">
        <v>-21549.88</v>
      </c>
      <c r="S482" s="402">
        <v>-15618.35</v>
      </c>
      <c r="T482" s="402">
        <v>-13973.6</v>
      </c>
      <c r="U482" s="402">
        <v>10960.38</v>
      </c>
      <c r="V482" s="402">
        <v>0</v>
      </c>
      <c r="W482" s="402">
        <v>0</v>
      </c>
      <c r="X482" s="402">
        <v>0</v>
      </c>
      <c r="Y482" s="402">
        <v>0</v>
      </c>
      <c r="Z482" s="402">
        <v>0</v>
      </c>
      <c r="AA482" s="402">
        <v>-250066.74</v>
      </c>
    </row>
    <row r="483" spans="10:27" ht="15" customHeight="1" x14ac:dyDescent="0.25">
      <c r="J483" s="400" t="s">
        <v>336</v>
      </c>
      <c r="K483" s="401" t="s">
        <v>1231</v>
      </c>
      <c r="L483" s="402" t="s">
        <v>1232</v>
      </c>
      <c r="M483" s="402">
        <v>27500</v>
      </c>
      <c r="N483" s="402">
        <v>103128</v>
      </c>
      <c r="O483" s="402">
        <v>0</v>
      </c>
      <c r="P483" s="402">
        <v>0</v>
      </c>
      <c r="Q483" s="402">
        <v>0</v>
      </c>
      <c r="R483" s="402">
        <v>0</v>
      </c>
      <c r="S483" s="402">
        <v>0</v>
      </c>
      <c r="T483" s="402">
        <v>0</v>
      </c>
      <c r="U483" s="402">
        <v>0</v>
      </c>
      <c r="V483" s="402">
        <v>5500</v>
      </c>
      <c r="W483" s="402">
        <v>5500</v>
      </c>
      <c r="X483" s="402">
        <v>5500</v>
      </c>
      <c r="Y483" s="402">
        <v>5500</v>
      </c>
      <c r="Z483" s="402">
        <v>5500</v>
      </c>
      <c r="AA483" s="402">
        <v>27500</v>
      </c>
    </row>
    <row r="484" spans="10:27" ht="15" customHeight="1" x14ac:dyDescent="0.25">
      <c r="J484" s="400" t="s">
        <v>336</v>
      </c>
      <c r="K484" s="401" t="s">
        <v>1233</v>
      </c>
      <c r="L484" s="402" t="s">
        <v>1234</v>
      </c>
      <c r="M484" s="402">
        <v>1054460.73251</v>
      </c>
      <c r="N484" s="402">
        <v>1441596.4135004</v>
      </c>
      <c r="O484" s="402">
        <v>0</v>
      </c>
      <c r="P484" s="402">
        <v>0</v>
      </c>
      <c r="Q484" s="402">
        <v>0</v>
      </c>
      <c r="R484" s="402">
        <v>0</v>
      </c>
      <c r="S484" s="402">
        <v>0</v>
      </c>
      <c r="T484" s="402">
        <v>0</v>
      </c>
      <c r="U484" s="402">
        <v>0</v>
      </c>
      <c r="V484" s="402">
        <v>195411.09050200001</v>
      </c>
      <c r="W484" s="402">
        <v>214411.09050200001</v>
      </c>
      <c r="X484" s="402">
        <v>215661.09050200001</v>
      </c>
      <c r="Y484" s="402">
        <v>214411.09050200001</v>
      </c>
      <c r="Z484" s="402">
        <v>214566.37050200001</v>
      </c>
      <c r="AA484" s="402">
        <v>1054460.73251</v>
      </c>
    </row>
    <row r="485" spans="10:27" ht="15" customHeight="1" x14ac:dyDescent="0.25">
      <c r="J485" s="400" t="s">
        <v>336</v>
      </c>
      <c r="K485" s="401" t="s">
        <v>1235</v>
      </c>
      <c r="L485" s="402" t="s">
        <v>1236</v>
      </c>
      <c r="M485" s="402">
        <v>0</v>
      </c>
      <c r="N485" s="402">
        <v>66000</v>
      </c>
      <c r="O485" s="402">
        <v>0</v>
      </c>
      <c r="P485" s="402">
        <v>0</v>
      </c>
      <c r="Q485" s="402">
        <v>0</v>
      </c>
      <c r="R485" s="402">
        <v>0</v>
      </c>
      <c r="S485" s="402">
        <v>0</v>
      </c>
      <c r="T485" s="402">
        <v>0</v>
      </c>
      <c r="U485" s="402">
        <v>0</v>
      </c>
      <c r="V485" s="402">
        <v>0</v>
      </c>
      <c r="W485" s="402">
        <v>0</v>
      </c>
      <c r="X485" s="402">
        <v>0</v>
      </c>
      <c r="Y485" s="402">
        <v>0</v>
      </c>
      <c r="Z485" s="402">
        <v>0</v>
      </c>
      <c r="AA485" s="402">
        <v>0</v>
      </c>
    </row>
    <row r="486" spans="10:27" ht="15" customHeight="1" x14ac:dyDescent="0.25">
      <c r="J486" s="400" t="s">
        <v>336</v>
      </c>
      <c r="K486" s="401" t="s">
        <v>1237</v>
      </c>
      <c r="L486" s="402" t="s">
        <v>1238</v>
      </c>
      <c r="M486" s="402">
        <v>474392</v>
      </c>
      <c r="N486" s="402">
        <v>1497000</v>
      </c>
      <c r="O486" s="402">
        <v>0</v>
      </c>
      <c r="P486" s="402">
        <v>0</v>
      </c>
      <c r="Q486" s="402">
        <v>0</v>
      </c>
      <c r="R486" s="402">
        <v>0</v>
      </c>
      <c r="S486" s="402">
        <v>0</v>
      </c>
      <c r="T486" s="402">
        <v>0</v>
      </c>
      <c r="U486" s="402">
        <v>0</v>
      </c>
      <c r="V486" s="402">
        <v>94878.399999999994</v>
      </c>
      <c r="W486" s="402">
        <v>94878.399999999994</v>
      </c>
      <c r="X486" s="402">
        <v>94878.399999999994</v>
      </c>
      <c r="Y486" s="402">
        <v>94878.399999999994</v>
      </c>
      <c r="Z486" s="402">
        <v>94878.399999999994</v>
      </c>
      <c r="AA486" s="402">
        <v>474392</v>
      </c>
    </row>
    <row r="487" spans="10:27" ht="15" customHeight="1" x14ac:dyDescent="0.2">
      <c r="J487" s="392" t="s">
        <v>336</v>
      </c>
      <c r="K487" s="399" t="s">
        <v>1239</v>
      </c>
      <c r="L487" s="392" t="s">
        <v>1240</v>
      </c>
      <c r="M487" s="393">
        <v>-1815495.13</v>
      </c>
      <c r="N487" s="393">
        <v>-2264047.6101837</v>
      </c>
      <c r="O487" s="393">
        <v>-56704.58</v>
      </c>
      <c r="P487" s="393">
        <v>-50165.85</v>
      </c>
      <c r="Q487" s="393">
        <v>-50627.53</v>
      </c>
      <c r="R487" s="393">
        <v>-112742.32</v>
      </c>
      <c r="S487" s="393">
        <v>-256733.68</v>
      </c>
      <c r="T487" s="393">
        <v>-36811.040000000001</v>
      </c>
      <c r="U487" s="393">
        <v>-88001.46</v>
      </c>
      <c r="V487" s="393">
        <v>-253536.39</v>
      </c>
      <c r="W487" s="393">
        <v>-227543.07</v>
      </c>
      <c r="X487" s="393">
        <v>-227543.07</v>
      </c>
      <c r="Y487" s="393">
        <v>-227543.07</v>
      </c>
      <c r="Z487" s="393">
        <v>-227543.07</v>
      </c>
      <c r="AA487" s="393">
        <v>-1815495.13</v>
      </c>
    </row>
    <row r="488" spans="10:27" ht="15" customHeight="1" x14ac:dyDescent="0.25">
      <c r="J488" s="400" t="s">
        <v>336</v>
      </c>
      <c r="K488" s="401" t="s">
        <v>1241</v>
      </c>
      <c r="L488" s="402" t="s">
        <v>1242</v>
      </c>
      <c r="M488" s="402">
        <v>-1075410.4099999999</v>
      </c>
      <c r="N488" s="402">
        <v>0</v>
      </c>
      <c r="O488" s="402">
        <v>-93421.21</v>
      </c>
      <c r="P488" s="402">
        <v>-172794.54</v>
      </c>
      <c r="Q488" s="402">
        <v>-105985.27</v>
      </c>
      <c r="R488" s="402">
        <v>-173240.23</v>
      </c>
      <c r="S488" s="402">
        <v>-225936.31</v>
      </c>
      <c r="T488" s="402">
        <v>-134994.84</v>
      </c>
      <c r="U488" s="402">
        <v>-169038.01</v>
      </c>
      <c r="V488" s="402">
        <v>0</v>
      </c>
      <c r="W488" s="402">
        <v>0</v>
      </c>
      <c r="X488" s="402">
        <v>0</v>
      </c>
      <c r="Y488" s="402">
        <v>0</v>
      </c>
      <c r="Z488" s="402">
        <v>0</v>
      </c>
      <c r="AA488" s="402">
        <v>-1075410.4099999999</v>
      </c>
    </row>
    <row r="489" spans="10:27" ht="15" customHeight="1" x14ac:dyDescent="0.25">
      <c r="J489" s="400" t="s">
        <v>336</v>
      </c>
      <c r="K489" s="401" t="s">
        <v>1243</v>
      </c>
      <c r="L489" s="402" t="s">
        <v>1244</v>
      </c>
      <c r="M489" s="402">
        <v>-3061700.73</v>
      </c>
      <c r="N489" s="402">
        <v>0</v>
      </c>
      <c r="O489" s="402">
        <v>-143677.78</v>
      </c>
      <c r="P489" s="402">
        <v>-506312.9</v>
      </c>
      <c r="Q489" s="402">
        <v>-405434.98</v>
      </c>
      <c r="R489" s="402">
        <v>-377588.61</v>
      </c>
      <c r="S489" s="402">
        <v>-362490.22</v>
      </c>
      <c r="T489" s="402">
        <v>-863710.26</v>
      </c>
      <c r="U489" s="402">
        <v>-402485.98</v>
      </c>
      <c r="V489" s="402">
        <v>0</v>
      </c>
      <c r="W489" s="402">
        <v>0</v>
      </c>
      <c r="X489" s="402">
        <v>0</v>
      </c>
      <c r="Y489" s="402">
        <v>0</v>
      </c>
      <c r="Z489" s="402">
        <v>0</v>
      </c>
      <c r="AA489" s="402">
        <v>-3061700.73</v>
      </c>
    </row>
    <row r="490" spans="10:27" ht="15" customHeight="1" x14ac:dyDescent="0.25">
      <c r="J490" s="400" t="s">
        <v>336</v>
      </c>
      <c r="K490" s="401" t="s">
        <v>1245</v>
      </c>
      <c r="L490" s="402" t="s">
        <v>1246</v>
      </c>
      <c r="M490" s="402">
        <v>-374616.62</v>
      </c>
      <c r="N490" s="402">
        <v>0</v>
      </c>
      <c r="O490" s="402">
        <v>-7484.29</v>
      </c>
      <c r="P490" s="402">
        <v>-67184.27</v>
      </c>
      <c r="Q490" s="402">
        <v>-17930.29</v>
      </c>
      <c r="R490" s="402">
        <v>-75435.88</v>
      </c>
      <c r="S490" s="402">
        <v>-146975.37</v>
      </c>
      <c r="T490" s="402">
        <v>-39482.339999999997</v>
      </c>
      <c r="U490" s="402">
        <v>-20124.18</v>
      </c>
      <c r="V490" s="402">
        <v>0</v>
      </c>
      <c r="W490" s="402">
        <v>0</v>
      </c>
      <c r="X490" s="402">
        <v>0</v>
      </c>
      <c r="Y490" s="402">
        <v>0</v>
      </c>
      <c r="Z490" s="402">
        <v>0</v>
      </c>
      <c r="AA490" s="402">
        <v>-374616.62</v>
      </c>
    </row>
    <row r="491" spans="10:27" ht="15" customHeight="1" x14ac:dyDescent="0.25">
      <c r="J491" s="400" t="s">
        <v>336</v>
      </c>
      <c r="K491" s="401" t="s">
        <v>1247</v>
      </c>
      <c r="L491" s="402" t="s">
        <v>1248</v>
      </c>
      <c r="M491" s="402">
        <v>-1769880.33</v>
      </c>
      <c r="N491" s="402">
        <v>-1561858.8101828999</v>
      </c>
      <c r="O491" s="402">
        <v>-263065.8</v>
      </c>
      <c r="P491" s="402">
        <v>-506521.37</v>
      </c>
      <c r="Q491" s="402">
        <v>-739277.34</v>
      </c>
      <c r="R491" s="402">
        <v>-139131.19</v>
      </c>
      <c r="S491" s="402">
        <v>-144591.34</v>
      </c>
      <c r="T491" s="402">
        <v>37632.25</v>
      </c>
      <c r="U491" s="402">
        <v>-14925.54</v>
      </c>
      <c r="V491" s="402">
        <v>0</v>
      </c>
      <c r="W491" s="402">
        <v>0</v>
      </c>
      <c r="X491" s="402">
        <v>0</v>
      </c>
      <c r="Y491" s="402">
        <v>0</v>
      </c>
      <c r="Z491" s="402">
        <v>0</v>
      </c>
      <c r="AA491" s="402">
        <v>-1769880.33</v>
      </c>
    </row>
    <row r="492" spans="10:27" ht="15" customHeight="1" x14ac:dyDescent="0.25">
      <c r="J492" s="400" t="s">
        <v>336</v>
      </c>
      <c r="K492" s="401" t="s">
        <v>1249</v>
      </c>
      <c r="L492" s="402" t="s">
        <v>1250</v>
      </c>
      <c r="M492" s="402">
        <v>5629821.6299999999</v>
      </c>
      <c r="N492" s="402">
        <v>0</v>
      </c>
      <c r="O492" s="402">
        <v>450944.5</v>
      </c>
      <c r="P492" s="402">
        <v>1202647.23</v>
      </c>
      <c r="Q492" s="402">
        <v>1218000.3500000001</v>
      </c>
      <c r="R492" s="402">
        <v>652653.59</v>
      </c>
      <c r="S492" s="402">
        <v>623259.56000000006</v>
      </c>
      <c r="T492" s="402">
        <v>963744.15</v>
      </c>
      <c r="U492" s="402">
        <v>518572.25</v>
      </c>
      <c r="V492" s="402">
        <v>0</v>
      </c>
      <c r="W492" s="402">
        <v>0</v>
      </c>
      <c r="X492" s="402">
        <v>0</v>
      </c>
      <c r="Y492" s="402">
        <v>0</v>
      </c>
      <c r="Z492" s="402">
        <v>0</v>
      </c>
      <c r="AA492" s="402">
        <v>5629821.6299999999</v>
      </c>
    </row>
    <row r="493" spans="10:27" ht="15" customHeight="1" x14ac:dyDescent="0.25">
      <c r="J493" s="400" t="s">
        <v>336</v>
      </c>
      <c r="K493" s="401" t="s">
        <v>1251</v>
      </c>
      <c r="L493" s="402" t="s">
        <v>1252</v>
      </c>
      <c r="M493" s="402">
        <v>-455000</v>
      </c>
      <c r="N493" s="402">
        <v>0</v>
      </c>
      <c r="O493" s="402">
        <v>0</v>
      </c>
      <c r="P493" s="402">
        <v>0</v>
      </c>
      <c r="Q493" s="402">
        <v>0</v>
      </c>
      <c r="R493" s="402">
        <v>0</v>
      </c>
      <c r="S493" s="402">
        <v>0</v>
      </c>
      <c r="T493" s="402">
        <v>0</v>
      </c>
      <c r="U493" s="402">
        <v>0</v>
      </c>
      <c r="V493" s="402">
        <v>-91000</v>
      </c>
      <c r="W493" s="402">
        <v>-91000</v>
      </c>
      <c r="X493" s="402">
        <v>-91000</v>
      </c>
      <c r="Y493" s="402">
        <v>-91000</v>
      </c>
      <c r="Z493" s="402">
        <v>-91000</v>
      </c>
      <c r="AA493" s="402">
        <v>-455000</v>
      </c>
    </row>
    <row r="494" spans="10:27" ht="15" customHeight="1" x14ac:dyDescent="0.25">
      <c r="J494" s="400" t="s">
        <v>336</v>
      </c>
      <c r="K494" s="401" t="s">
        <v>1253</v>
      </c>
      <c r="L494" s="402" t="s">
        <v>1254</v>
      </c>
      <c r="M494" s="402">
        <v>-210497</v>
      </c>
      <c r="N494" s="402">
        <v>-602188.80000000005</v>
      </c>
      <c r="O494" s="402">
        <v>0</v>
      </c>
      <c r="P494" s="402">
        <v>0</v>
      </c>
      <c r="Q494" s="402">
        <v>0</v>
      </c>
      <c r="R494" s="402">
        <v>0</v>
      </c>
      <c r="S494" s="402">
        <v>0</v>
      </c>
      <c r="T494" s="402">
        <v>0</v>
      </c>
      <c r="U494" s="402">
        <v>0</v>
      </c>
      <c r="V494" s="402">
        <v>-42099.4</v>
      </c>
      <c r="W494" s="402">
        <v>-42099.4</v>
      </c>
      <c r="X494" s="402">
        <v>-42099.4</v>
      </c>
      <c r="Y494" s="402">
        <v>-42099.4</v>
      </c>
      <c r="Z494" s="402">
        <v>-42099.4</v>
      </c>
      <c r="AA494" s="402">
        <v>-210497</v>
      </c>
    </row>
    <row r="495" spans="10:27" ht="15" customHeight="1" x14ac:dyDescent="0.25">
      <c r="J495" s="400" t="s">
        <v>336</v>
      </c>
      <c r="K495" s="401" t="s">
        <v>1255</v>
      </c>
      <c r="L495" s="402" t="s">
        <v>1256</v>
      </c>
      <c r="M495" s="402">
        <v>-404211.67</v>
      </c>
      <c r="N495" s="402">
        <v>0</v>
      </c>
      <c r="O495" s="402">
        <v>0</v>
      </c>
      <c r="P495" s="402">
        <v>0</v>
      </c>
      <c r="Q495" s="402">
        <v>0</v>
      </c>
      <c r="R495" s="402">
        <v>0</v>
      </c>
      <c r="S495" s="402">
        <v>0</v>
      </c>
      <c r="T495" s="402">
        <v>0</v>
      </c>
      <c r="U495" s="402">
        <v>0</v>
      </c>
      <c r="V495" s="402">
        <v>-88836.99</v>
      </c>
      <c r="W495" s="402">
        <v>-78843.67</v>
      </c>
      <c r="X495" s="402">
        <v>-78843.67</v>
      </c>
      <c r="Y495" s="402">
        <v>-78843.67</v>
      </c>
      <c r="Z495" s="402">
        <v>-78843.67</v>
      </c>
      <c r="AA495" s="402">
        <v>-404211.67</v>
      </c>
    </row>
    <row r="496" spans="10:27" ht="15" customHeight="1" x14ac:dyDescent="0.25">
      <c r="J496" s="400" t="s">
        <v>336</v>
      </c>
      <c r="K496" s="401" t="s">
        <v>1257</v>
      </c>
      <c r="L496" s="402" t="s">
        <v>1258</v>
      </c>
      <c r="M496" s="402">
        <v>-94000</v>
      </c>
      <c r="N496" s="402">
        <v>-100000.00000080001</v>
      </c>
      <c r="O496" s="402">
        <v>0</v>
      </c>
      <c r="P496" s="402">
        <v>0</v>
      </c>
      <c r="Q496" s="402">
        <v>0</v>
      </c>
      <c r="R496" s="402">
        <v>0</v>
      </c>
      <c r="S496" s="402">
        <v>0</v>
      </c>
      <c r="T496" s="402">
        <v>0</v>
      </c>
      <c r="U496" s="402">
        <v>0</v>
      </c>
      <c r="V496" s="402">
        <v>-31600</v>
      </c>
      <c r="W496" s="402">
        <v>-15600</v>
      </c>
      <c r="X496" s="402">
        <v>-15600</v>
      </c>
      <c r="Y496" s="402">
        <v>-15600</v>
      </c>
      <c r="Z496" s="402">
        <v>-15600</v>
      </c>
      <c r="AA496" s="402">
        <v>-94000</v>
      </c>
    </row>
    <row r="497" spans="10:27" ht="15" customHeight="1" x14ac:dyDescent="0.2">
      <c r="J497" s="392" t="s">
        <v>336</v>
      </c>
      <c r="K497" s="399" t="s">
        <v>1259</v>
      </c>
      <c r="L497" s="392" t="s">
        <v>1260</v>
      </c>
      <c r="M497" s="393">
        <v>1713173.9110785001</v>
      </c>
      <c r="N497" s="393">
        <v>37846132.2833165</v>
      </c>
      <c r="O497" s="393">
        <v>-2347616.61</v>
      </c>
      <c r="P497" s="393">
        <v>-2880143.47</v>
      </c>
      <c r="Q497" s="393">
        <v>-1928543.01</v>
      </c>
      <c r="R497" s="393">
        <v>-2815658.08</v>
      </c>
      <c r="S497" s="393">
        <v>-3704099.35</v>
      </c>
      <c r="T497" s="393">
        <v>-2220324.4700000002</v>
      </c>
      <c r="U497" s="393">
        <v>-3761173.92</v>
      </c>
      <c r="V497" s="393">
        <v>4713180.5347651001</v>
      </c>
      <c r="W497" s="393">
        <v>5228132.4471714003</v>
      </c>
      <c r="X497" s="393">
        <v>3792860.4535319</v>
      </c>
      <c r="Y497" s="393">
        <v>3452682.6043218998</v>
      </c>
      <c r="Z497" s="393">
        <v>4183876.7812882001</v>
      </c>
      <c r="AA497" s="393">
        <v>1713173.9110785001</v>
      </c>
    </row>
    <row r="498" spans="10:27" ht="15" customHeight="1" x14ac:dyDescent="0.25">
      <c r="J498" s="400" t="s">
        <v>336</v>
      </c>
      <c r="K498" s="401" t="s">
        <v>1261</v>
      </c>
      <c r="L498" s="402" t="s">
        <v>1262</v>
      </c>
      <c r="M498" s="402">
        <v>3877755</v>
      </c>
      <c r="N498" s="402">
        <v>0</v>
      </c>
      <c r="O498" s="402">
        <v>850403</v>
      </c>
      <c r="P498" s="402">
        <v>539632</v>
      </c>
      <c r="Q498" s="402">
        <v>393999</v>
      </c>
      <c r="R498" s="402">
        <v>420739</v>
      </c>
      <c r="S498" s="402">
        <v>562769</v>
      </c>
      <c r="T498" s="402">
        <v>538663</v>
      </c>
      <c r="U498" s="402">
        <v>571550</v>
      </c>
      <c r="V498" s="402">
        <v>0</v>
      </c>
      <c r="W498" s="402">
        <v>0</v>
      </c>
      <c r="X498" s="402">
        <v>0</v>
      </c>
      <c r="Y498" s="402">
        <v>0</v>
      </c>
      <c r="Z498" s="402">
        <v>0</v>
      </c>
      <c r="AA498" s="402">
        <v>3877755</v>
      </c>
    </row>
    <row r="499" spans="10:27" ht="15" customHeight="1" x14ac:dyDescent="0.25">
      <c r="J499" s="400" t="s">
        <v>336</v>
      </c>
      <c r="K499" s="401" t="s">
        <v>1263</v>
      </c>
      <c r="L499" s="402" t="s">
        <v>1264</v>
      </c>
      <c r="M499" s="402">
        <v>106.89</v>
      </c>
      <c r="N499" s="402">
        <v>0</v>
      </c>
      <c r="O499" s="402">
        <v>107</v>
      </c>
      <c r="P499" s="402">
        <v>107</v>
      </c>
      <c r="Q499" s="402">
        <v>70.73</v>
      </c>
      <c r="R499" s="402">
        <v>35.159999999999997</v>
      </c>
      <c r="S499" s="402">
        <v>107</v>
      </c>
      <c r="T499" s="402">
        <v>-427</v>
      </c>
      <c r="U499" s="402">
        <v>107</v>
      </c>
      <c r="V499" s="402">
        <v>0</v>
      </c>
      <c r="W499" s="402">
        <v>0</v>
      </c>
      <c r="X499" s="402">
        <v>0</v>
      </c>
      <c r="Y499" s="402">
        <v>0</v>
      </c>
      <c r="Z499" s="402">
        <v>0</v>
      </c>
      <c r="AA499" s="402">
        <v>106.89</v>
      </c>
    </row>
    <row r="500" spans="10:27" ht="15" customHeight="1" x14ac:dyDescent="0.25">
      <c r="J500" s="400" t="s">
        <v>336</v>
      </c>
      <c r="K500" s="401" t="s">
        <v>1265</v>
      </c>
      <c r="L500" s="402" t="s">
        <v>1266</v>
      </c>
      <c r="M500" s="402">
        <v>314578.34000000003</v>
      </c>
      <c r="N500" s="402">
        <v>0</v>
      </c>
      <c r="O500" s="402">
        <v>0</v>
      </c>
      <c r="P500" s="402">
        <v>0</v>
      </c>
      <c r="Q500" s="402">
        <v>151206.35999999999</v>
      </c>
      <c r="R500" s="402">
        <v>2659.72</v>
      </c>
      <c r="S500" s="402">
        <v>1337.74</v>
      </c>
      <c r="T500" s="402">
        <v>127499.52</v>
      </c>
      <c r="U500" s="402">
        <v>31875</v>
      </c>
      <c r="V500" s="402">
        <v>0</v>
      </c>
      <c r="W500" s="402">
        <v>0</v>
      </c>
      <c r="X500" s="402">
        <v>0</v>
      </c>
      <c r="Y500" s="402">
        <v>0</v>
      </c>
      <c r="Z500" s="402">
        <v>0</v>
      </c>
      <c r="AA500" s="402">
        <v>314578.34000000003</v>
      </c>
    </row>
    <row r="501" spans="10:27" ht="15" customHeight="1" x14ac:dyDescent="0.25">
      <c r="J501" s="400" t="s">
        <v>336</v>
      </c>
      <c r="K501" s="401" t="s">
        <v>1267</v>
      </c>
      <c r="L501" s="402" t="s">
        <v>1268</v>
      </c>
      <c r="M501" s="402">
        <v>0.01</v>
      </c>
      <c r="N501" s="402">
        <v>0</v>
      </c>
      <c r="O501" s="402">
        <v>0</v>
      </c>
      <c r="P501" s="402">
        <v>0</v>
      </c>
      <c r="Q501" s="402">
        <v>42.81</v>
      </c>
      <c r="R501" s="402">
        <v>75.2</v>
      </c>
      <c r="S501" s="402">
        <v>0</v>
      </c>
      <c r="T501" s="402">
        <v>-118</v>
      </c>
      <c r="U501" s="402">
        <v>0</v>
      </c>
      <c r="V501" s="402">
        <v>0</v>
      </c>
      <c r="W501" s="402">
        <v>0</v>
      </c>
      <c r="X501" s="402">
        <v>0</v>
      </c>
      <c r="Y501" s="402">
        <v>0</v>
      </c>
      <c r="Z501" s="402">
        <v>0</v>
      </c>
      <c r="AA501" s="402">
        <v>0.01</v>
      </c>
    </row>
    <row r="502" spans="10:27" ht="15" customHeight="1" x14ac:dyDescent="0.25">
      <c r="J502" s="400" t="s">
        <v>336</v>
      </c>
      <c r="K502" s="401" t="s">
        <v>1269</v>
      </c>
      <c r="L502" s="402" t="s">
        <v>1270</v>
      </c>
      <c r="M502" s="402">
        <v>342743.77</v>
      </c>
      <c r="N502" s="402">
        <v>0</v>
      </c>
      <c r="O502" s="402">
        <v>0</v>
      </c>
      <c r="P502" s="402">
        <v>0</v>
      </c>
      <c r="Q502" s="402">
        <v>119315.91</v>
      </c>
      <c r="R502" s="402">
        <v>0</v>
      </c>
      <c r="S502" s="402">
        <v>0</v>
      </c>
      <c r="T502" s="402">
        <v>223427.86</v>
      </c>
      <c r="U502" s="402">
        <v>0</v>
      </c>
      <c r="V502" s="402">
        <v>0</v>
      </c>
      <c r="W502" s="402">
        <v>0</v>
      </c>
      <c r="X502" s="402">
        <v>0</v>
      </c>
      <c r="Y502" s="402">
        <v>0</v>
      </c>
      <c r="Z502" s="402">
        <v>0</v>
      </c>
      <c r="AA502" s="402">
        <v>342743.77</v>
      </c>
    </row>
    <row r="503" spans="10:27" ht="15" customHeight="1" x14ac:dyDescent="0.25">
      <c r="J503" s="400" t="s">
        <v>336</v>
      </c>
      <c r="K503" s="401" t="s">
        <v>1271</v>
      </c>
      <c r="L503" s="402" t="s">
        <v>1272</v>
      </c>
      <c r="M503" s="402">
        <v>174945.4</v>
      </c>
      <c r="N503" s="402">
        <v>399996</v>
      </c>
      <c r="O503" s="402">
        <v>-3665.6</v>
      </c>
      <c r="P503" s="402">
        <v>600</v>
      </c>
      <c r="Q503" s="402">
        <v>20030</v>
      </c>
      <c r="R503" s="402">
        <v>32695</v>
      </c>
      <c r="S503" s="402">
        <v>-2445</v>
      </c>
      <c r="T503" s="402">
        <v>95231</v>
      </c>
      <c r="U503" s="402">
        <v>32500</v>
      </c>
      <c r="V503" s="402">
        <v>0</v>
      </c>
      <c r="W503" s="402">
        <v>0</v>
      </c>
      <c r="X503" s="402">
        <v>0</v>
      </c>
      <c r="Y503" s="402">
        <v>0</v>
      </c>
      <c r="Z503" s="402">
        <v>0</v>
      </c>
      <c r="AA503" s="402">
        <v>174945.4</v>
      </c>
    </row>
    <row r="504" spans="10:27" ht="15" customHeight="1" x14ac:dyDescent="0.25">
      <c r="J504" s="400" t="s">
        <v>336</v>
      </c>
      <c r="K504" s="401" t="s">
        <v>1273</v>
      </c>
      <c r="L504" s="402" t="s">
        <v>1274</v>
      </c>
      <c r="M504" s="402">
        <v>2319447.77</v>
      </c>
      <c r="N504" s="402">
        <v>108035.54485000001</v>
      </c>
      <c r="O504" s="402">
        <v>733222.98</v>
      </c>
      <c r="P504" s="402">
        <v>45995</v>
      </c>
      <c r="Q504" s="402">
        <v>706920.73</v>
      </c>
      <c r="R504" s="402">
        <v>15390.06</v>
      </c>
      <c r="S504" s="402">
        <v>48365</v>
      </c>
      <c r="T504" s="402">
        <v>719004.98</v>
      </c>
      <c r="U504" s="402">
        <v>50549.02</v>
      </c>
      <c r="V504" s="402">
        <v>0</v>
      </c>
      <c r="W504" s="402">
        <v>0</v>
      </c>
      <c r="X504" s="402">
        <v>0</v>
      </c>
      <c r="Y504" s="402">
        <v>0</v>
      </c>
      <c r="Z504" s="402">
        <v>0</v>
      </c>
      <c r="AA504" s="402">
        <v>2319447.77</v>
      </c>
    </row>
    <row r="505" spans="10:27" ht="15" customHeight="1" x14ac:dyDescent="0.25">
      <c r="J505" s="400" t="s">
        <v>336</v>
      </c>
      <c r="K505" s="401" t="s">
        <v>1275</v>
      </c>
      <c r="L505" s="402" t="s">
        <v>1276</v>
      </c>
      <c r="M505" s="402">
        <v>1569588.03</v>
      </c>
      <c r="N505" s="402">
        <v>500000</v>
      </c>
      <c r="O505" s="402">
        <v>78044.33</v>
      </c>
      <c r="P505" s="402">
        <v>95826.48</v>
      </c>
      <c r="Q505" s="402">
        <v>138750</v>
      </c>
      <c r="R505" s="402">
        <v>128010.31</v>
      </c>
      <c r="S505" s="402">
        <v>232262.5</v>
      </c>
      <c r="T505" s="402">
        <v>672127.44</v>
      </c>
      <c r="U505" s="402">
        <v>224566.97</v>
      </c>
      <c r="V505" s="402">
        <v>0</v>
      </c>
      <c r="W505" s="402">
        <v>0</v>
      </c>
      <c r="X505" s="402">
        <v>0</v>
      </c>
      <c r="Y505" s="402">
        <v>0</v>
      </c>
      <c r="Z505" s="402">
        <v>0</v>
      </c>
      <c r="AA505" s="402">
        <v>1569588.03</v>
      </c>
    </row>
    <row r="506" spans="10:27" ht="15" customHeight="1" x14ac:dyDescent="0.25">
      <c r="J506" s="400" t="s">
        <v>336</v>
      </c>
      <c r="K506" s="401" t="s">
        <v>1277</v>
      </c>
      <c r="L506" s="402" t="s">
        <v>1278</v>
      </c>
      <c r="M506" s="402">
        <v>178415.71</v>
      </c>
      <c r="N506" s="402">
        <v>0</v>
      </c>
      <c r="O506" s="402">
        <v>163784.79999999999</v>
      </c>
      <c r="P506" s="402">
        <v>192178.32</v>
      </c>
      <c r="Q506" s="402">
        <v>27739.9</v>
      </c>
      <c r="R506" s="402">
        <v>66285.899999999994</v>
      </c>
      <c r="S506" s="402">
        <v>179002.71</v>
      </c>
      <c r="T506" s="402">
        <v>-463633.5</v>
      </c>
      <c r="U506" s="402">
        <v>13057.58</v>
      </c>
      <c r="V506" s="402">
        <v>0</v>
      </c>
      <c r="W506" s="402">
        <v>0</v>
      </c>
      <c r="X506" s="402">
        <v>0</v>
      </c>
      <c r="Y506" s="402">
        <v>0</v>
      </c>
      <c r="Z506" s="402">
        <v>0</v>
      </c>
      <c r="AA506" s="402">
        <v>178415.71</v>
      </c>
    </row>
    <row r="507" spans="10:27" ht="15" customHeight="1" x14ac:dyDescent="0.25">
      <c r="J507" s="400" t="s">
        <v>336</v>
      </c>
      <c r="K507" s="401" t="s">
        <v>1279</v>
      </c>
      <c r="L507" s="402" t="s">
        <v>1280</v>
      </c>
      <c r="M507" s="402">
        <v>263250.48</v>
      </c>
      <c r="N507" s="402">
        <v>0</v>
      </c>
      <c r="O507" s="402">
        <v>52582.5</v>
      </c>
      <c r="P507" s="402">
        <v>22233.33</v>
      </c>
      <c r="Q507" s="402">
        <v>27588.33</v>
      </c>
      <c r="R507" s="402">
        <v>50833.33</v>
      </c>
      <c r="S507" s="402">
        <v>49034.66</v>
      </c>
      <c r="T507" s="402">
        <v>-52855</v>
      </c>
      <c r="U507" s="402">
        <v>96833.33</v>
      </c>
      <c r="V507" s="402">
        <v>0</v>
      </c>
      <c r="W507" s="402">
        <v>17000</v>
      </c>
      <c r="X507" s="402">
        <v>0</v>
      </c>
      <c r="Y507" s="402">
        <v>0</v>
      </c>
      <c r="Z507" s="402">
        <v>0</v>
      </c>
      <c r="AA507" s="402">
        <v>263250.48</v>
      </c>
    </row>
    <row r="508" spans="10:27" ht="15" customHeight="1" x14ac:dyDescent="0.25">
      <c r="J508" s="400" t="s">
        <v>336</v>
      </c>
      <c r="K508" s="401" t="s">
        <v>1281</v>
      </c>
      <c r="L508" s="402" t="s">
        <v>1282</v>
      </c>
      <c r="M508" s="402">
        <v>1125459.02</v>
      </c>
      <c r="N508" s="402">
        <v>0</v>
      </c>
      <c r="O508" s="402">
        <v>249774.9</v>
      </c>
      <c r="P508" s="402">
        <v>49219.44</v>
      </c>
      <c r="Q508" s="402">
        <v>48013.91</v>
      </c>
      <c r="R508" s="402">
        <v>304167.23</v>
      </c>
      <c r="S508" s="402">
        <v>45183.94</v>
      </c>
      <c r="T508" s="402">
        <v>52055.01</v>
      </c>
      <c r="U508" s="402">
        <v>377044.59</v>
      </c>
      <c r="V508" s="402">
        <v>0</v>
      </c>
      <c r="W508" s="402">
        <v>0</v>
      </c>
      <c r="X508" s="402">
        <v>0</v>
      </c>
      <c r="Y508" s="402">
        <v>0</v>
      </c>
      <c r="Z508" s="402">
        <v>0</v>
      </c>
      <c r="AA508" s="402">
        <v>1125459.02</v>
      </c>
    </row>
    <row r="509" spans="10:27" ht="15" customHeight="1" x14ac:dyDescent="0.25">
      <c r="J509" s="400" t="s">
        <v>336</v>
      </c>
      <c r="K509" s="401" t="s">
        <v>1283</v>
      </c>
      <c r="L509" s="402" t="s">
        <v>1284</v>
      </c>
      <c r="M509" s="402">
        <v>1732.9</v>
      </c>
      <c r="N509" s="402">
        <v>0</v>
      </c>
      <c r="O509" s="402">
        <v>350</v>
      </c>
      <c r="P509" s="402">
        <v>495.4</v>
      </c>
      <c r="Q509" s="402">
        <v>0</v>
      </c>
      <c r="R509" s="402">
        <v>0</v>
      </c>
      <c r="S509" s="402">
        <v>887.5</v>
      </c>
      <c r="T509" s="402">
        <v>0</v>
      </c>
      <c r="U509" s="402">
        <v>0</v>
      </c>
      <c r="V509" s="402">
        <v>0</v>
      </c>
      <c r="W509" s="402">
        <v>0</v>
      </c>
      <c r="X509" s="402">
        <v>0</v>
      </c>
      <c r="Y509" s="402">
        <v>0</v>
      </c>
      <c r="Z509" s="402">
        <v>0</v>
      </c>
      <c r="AA509" s="402">
        <v>1732.9</v>
      </c>
    </row>
    <row r="510" spans="10:27" ht="15" customHeight="1" x14ac:dyDescent="0.25">
      <c r="J510" s="400" t="s">
        <v>336</v>
      </c>
      <c r="K510" s="401" t="s">
        <v>1285</v>
      </c>
      <c r="L510" s="402" t="s">
        <v>1286</v>
      </c>
      <c r="M510" s="402">
        <v>34600</v>
      </c>
      <c r="N510" s="402">
        <v>39936.601759999998</v>
      </c>
      <c r="O510" s="402">
        <v>34500</v>
      </c>
      <c r="P510" s="402">
        <v>100</v>
      </c>
      <c r="Q510" s="402">
        <v>0</v>
      </c>
      <c r="R510" s="402">
        <v>0</v>
      </c>
      <c r="S510" s="402">
        <v>0</v>
      </c>
      <c r="T510" s="402">
        <v>0</v>
      </c>
      <c r="U510" s="402">
        <v>0</v>
      </c>
      <c r="V510" s="402">
        <v>0</v>
      </c>
      <c r="W510" s="402">
        <v>0</v>
      </c>
      <c r="X510" s="402">
        <v>0</v>
      </c>
      <c r="Y510" s="402">
        <v>0</v>
      </c>
      <c r="Z510" s="402">
        <v>0</v>
      </c>
      <c r="AA510" s="402">
        <v>34600</v>
      </c>
    </row>
    <row r="511" spans="10:27" ht="15" customHeight="1" x14ac:dyDescent="0.25">
      <c r="J511" s="400" t="s">
        <v>336</v>
      </c>
      <c r="K511" s="401" t="s">
        <v>1287</v>
      </c>
      <c r="L511" s="402" t="s">
        <v>1288</v>
      </c>
      <c r="M511" s="402">
        <v>50677.760000000002</v>
      </c>
      <c r="N511" s="402">
        <v>183257</v>
      </c>
      <c r="O511" s="402">
        <v>2526.09</v>
      </c>
      <c r="P511" s="402">
        <v>11266.67</v>
      </c>
      <c r="Q511" s="402">
        <v>12533.63</v>
      </c>
      <c r="R511" s="402">
        <v>2392.71</v>
      </c>
      <c r="S511" s="402">
        <v>13845.08</v>
      </c>
      <c r="T511" s="402">
        <v>7438.45</v>
      </c>
      <c r="U511" s="402">
        <v>675.13</v>
      </c>
      <c r="V511" s="402">
        <v>0</v>
      </c>
      <c r="W511" s="402">
        <v>0</v>
      </c>
      <c r="X511" s="402">
        <v>0</v>
      </c>
      <c r="Y511" s="402">
        <v>0</v>
      </c>
      <c r="Z511" s="402">
        <v>0</v>
      </c>
      <c r="AA511" s="402">
        <v>50677.760000000002</v>
      </c>
    </row>
    <row r="512" spans="10:27" ht="15" customHeight="1" x14ac:dyDescent="0.25">
      <c r="J512" s="400" t="s">
        <v>336</v>
      </c>
      <c r="K512" s="401" t="s">
        <v>1289</v>
      </c>
      <c r="L512" s="402" t="s">
        <v>1290</v>
      </c>
      <c r="M512" s="402">
        <v>-7922.03</v>
      </c>
      <c r="N512" s="402">
        <v>0</v>
      </c>
      <c r="O512" s="402">
        <v>0</v>
      </c>
      <c r="P512" s="402">
        <v>-17999.57</v>
      </c>
      <c r="Q512" s="402">
        <v>0</v>
      </c>
      <c r="R512" s="402">
        <v>0</v>
      </c>
      <c r="S512" s="402">
        <v>0</v>
      </c>
      <c r="T512" s="402">
        <v>5077.54</v>
      </c>
      <c r="U512" s="402">
        <v>5000</v>
      </c>
      <c r="V512" s="402">
        <v>0</v>
      </c>
      <c r="W512" s="402">
        <v>0</v>
      </c>
      <c r="X512" s="402">
        <v>0</v>
      </c>
      <c r="Y512" s="402">
        <v>0</v>
      </c>
      <c r="Z512" s="402">
        <v>0</v>
      </c>
      <c r="AA512" s="402">
        <v>-7922.03</v>
      </c>
    </row>
    <row r="513" spans="10:27" ht="15" customHeight="1" x14ac:dyDescent="0.25">
      <c r="J513" s="400" t="s">
        <v>336</v>
      </c>
      <c r="K513" s="401" t="s">
        <v>1291</v>
      </c>
      <c r="L513" s="402" t="s">
        <v>1292</v>
      </c>
      <c r="M513" s="402">
        <v>691720.79</v>
      </c>
      <c r="N513" s="402">
        <v>409302.34699759999</v>
      </c>
      <c r="O513" s="402">
        <v>114113.58</v>
      </c>
      <c r="P513" s="402">
        <v>117615.78</v>
      </c>
      <c r="Q513" s="402">
        <v>126146.2</v>
      </c>
      <c r="R513" s="402">
        <v>128132.04</v>
      </c>
      <c r="S513" s="402">
        <v>70868.75</v>
      </c>
      <c r="T513" s="402">
        <v>40936.339999999997</v>
      </c>
      <c r="U513" s="402">
        <v>93908.1</v>
      </c>
      <c r="V513" s="402">
        <v>0</v>
      </c>
      <c r="W513" s="402">
        <v>0</v>
      </c>
      <c r="X513" s="402">
        <v>0</v>
      </c>
      <c r="Y513" s="402">
        <v>0</v>
      </c>
      <c r="Z513" s="402">
        <v>0</v>
      </c>
      <c r="AA513" s="402">
        <v>691720.79</v>
      </c>
    </row>
    <row r="514" spans="10:27" ht="15" customHeight="1" x14ac:dyDescent="0.25">
      <c r="J514" s="400" t="s">
        <v>336</v>
      </c>
      <c r="K514" s="401" t="s">
        <v>1293</v>
      </c>
      <c r="L514" s="402" t="s">
        <v>1294</v>
      </c>
      <c r="M514" s="402">
        <v>115021</v>
      </c>
      <c r="N514" s="402">
        <v>0</v>
      </c>
      <c r="O514" s="402">
        <v>115021</v>
      </c>
      <c r="P514" s="402">
        <v>0</v>
      </c>
      <c r="Q514" s="402">
        <v>0</v>
      </c>
      <c r="R514" s="402">
        <v>0</v>
      </c>
      <c r="S514" s="402">
        <v>0</v>
      </c>
      <c r="T514" s="402">
        <v>0</v>
      </c>
      <c r="U514" s="402">
        <v>0</v>
      </c>
      <c r="V514" s="402">
        <v>0</v>
      </c>
      <c r="W514" s="402">
        <v>0</v>
      </c>
      <c r="X514" s="402">
        <v>0</v>
      </c>
      <c r="Y514" s="402">
        <v>0</v>
      </c>
      <c r="Z514" s="402">
        <v>0</v>
      </c>
      <c r="AA514" s="402">
        <v>115021</v>
      </c>
    </row>
    <row r="515" spans="10:27" ht="15" customHeight="1" x14ac:dyDescent="0.25">
      <c r="J515" s="400" t="s">
        <v>336</v>
      </c>
      <c r="K515" s="401" t="s">
        <v>1295</v>
      </c>
      <c r="L515" s="402" t="s">
        <v>1296</v>
      </c>
      <c r="M515" s="402">
        <v>2449321.4</v>
      </c>
      <c r="N515" s="402">
        <v>102202.74712479999</v>
      </c>
      <c r="O515" s="402">
        <v>321124.81</v>
      </c>
      <c r="P515" s="402">
        <v>317586.78999999998</v>
      </c>
      <c r="Q515" s="402">
        <v>386534.11</v>
      </c>
      <c r="R515" s="402">
        <v>337246.73</v>
      </c>
      <c r="S515" s="402">
        <v>249421.66</v>
      </c>
      <c r="T515" s="402">
        <v>483289.74</v>
      </c>
      <c r="U515" s="402">
        <v>354117.56</v>
      </c>
      <c r="V515" s="402">
        <v>0</v>
      </c>
      <c r="W515" s="402">
        <v>0</v>
      </c>
      <c r="X515" s="402">
        <v>0</v>
      </c>
      <c r="Y515" s="402">
        <v>0</v>
      </c>
      <c r="Z515" s="402">
        <v>0</v>
      </c>
      <c r="AA515" s="402">
        <v>2449321.4</v>
      </c>
    </row>
    <row r="516" spans="10:27" ht="15" customHeight="1" x14ac:dyDescent="0.25">
      <c r="J516" s="400" t="s">
        <v>336</v>
      </c>
      <c r="K516" s="401" t="s">
        <v>1297</v>
      </c>
      <c r="L516" s="402" t="s">
        <v>1298</v>
      </c>
      <c r="M516" s="402">
        <v>20234618.02</v>
      </c>
      <c r="N516" s="402">
        <v>37198787</v>
      </c>
      <c r="O516" s="402">
        <v>2784395.63</v>
      </c>
      <c r="P516" s="402">
        <v>2910392.44</v>
      </c>
      <c r="Q516" s="402">
        <v>2845307.74</v>
      </c>
      <c r="R516" s="402">
        <v>2927050.94</v>
      </c>
      <c r="S516" s="402">
        <v>2789539.49</v>
      </c>
      <c r="T516" s="402">
        <v>3103807.82</v>
      </c>
      <c r="U516" s="402">
        <v>2874123.96</v>
      </c>
      <c r="V516" s="402">
        <v>0</v>
      </c>
      <c r="W516" s="402">
        <v>0</v>
      </c>
      <c r="X516" s="402">
        <v>0</v>
      </c>
      <c r="Y516" s="402">
        <v>0</v>
      </c>
      <c r="Z516" s="402">
        <v>0</v>
      </c>
      <c r="AA516" s="402">
        <v>20234618.02</v>
      </c>
    </row>
    <row r="517" spans="10:27" ht="15" customHeight="1" x14ac:dyDescent="0.25">
      <c r="J517" s="400" t="s">
        <v>336</v>
      </c>
      <c r="K517" s="401" t="s">
        <v>1299</v>
      </c>
      <c r="L517" s="402" t="s">
        <v>1300</v>
      </c>
      <c r="M517" s="402">
        <v>53579.27</v>
      </c>
      <c r="N517" s="402">
        <v>11500</v>
      </c>
      <c r="O517" s="402">
        <v>9500</v>
      </c>
      <c r="P517" s="402">
        <v>4100</v>
      </c>
      <c r="Q517" s="402">
        <v>3900</v>
      </c>
      <c r="R517" s="402">
        <v>9285.3799999999992</v>
      </c>
      <c r="S517" s="402">
        <v>15086.51</v>
      </c>
      <c r="T517" s="402">
        <v>5025</v>
      </c>
      <c r="U517" s="402">
        <v>6682.38</v>
      </c>
      <c r="V517" s="402">
        <v>0</v>
      </c>
      <c r="W517" s="402">
        <v>0</v>
      </c>
      <c r="X517" s="402">
        <v>0</v>
      </c>
      <c r="Y517" s="402">
        <v>0</v>
      </c>
      <c r="Z517" s="402">
        <v>0</v>
      </c>
      <c r="AA517" s="402">
        <v>53579.27</v>
      </c>
    </row>
    <row r="518" spans="10:27" ht="15" customHeight="1" x14ac:dyDescent="0.25">
      <c r="J518" s="400" t="s">
        <v>336</v>
      </c>
      <c r="K518" s="401" t="s">
        <v>1301</v>
      </c>
      <c r="L518" s="402" t="s">
        <v>1302</v>
      </c>
      <c r="M518" s="402">
        <v>28370.42</v>
      </c>
      <c r="N518" s="402">
        <v>0</v>
      </c>
      <c r="O518" s="402">
        <v>2571.38</v>
      </c>
      <c r="P518" s="402">
        <v>3883.52</v>
      </c>
      <c r="Q518" s="402">
        <v>5199.05</v>
      </c>
      <c r="R518" s="402">
        <v>2224.5</v>
      </c>
      <c r="S518" s="402">
        <v>4216.71</v>
      </c>
      <c r="T518" s="402">
        <v>4527</v>
      </c>
      <c r="U518" s="402">
        <v>5748.26</v>
      </c>
      <c r="V518" s="402">
        <v>0</v>
      </c>
      <c r="W518" s="402">
        <v>0</v>
      </c>
      <c r="X518" s="402">
        <v>0</v>
      </c>
      <c r="Y518" s="402">
        <v>0</v>
      </c>
      <c r="Z518" s="402">
        <v>0</v>
      </c>
      <c r="AA518" s="402">
        <v>28370.42</v>
      </c>
    </row>
    <row r="519" spans="10:27" ht="15" customHeight="1" x14ac:dyDescent="0.25">
      <c r="J519" s="400" t="s">
        <v>336</v>
      </c>
      <c r="K519" s="401" t="s">
        <v>1303</v>
      </c>
      <c r="L519" s="402" t="s">
        <v>1304</v>
      </c>
      <c r="M519" s="402">
        <v>-87767.51</v>
      </c>
      <c r="N519" s="402">
        <v>0</v>
      </c>
      <c r="O519" s="402">
        <v>-8088.1</v>
      </c>
      <c r="P519" s="402">
        <v>-7010.31</v>
      </c>
      <c r="Q519" s="402">
        <v>-19047.939999999999</v>
      </c>
      <c r="R519" s="402">
        <v>-10958.1</v>
      </c>
      <c r="S519" s="402">
        <v>-15701.24</v>
      </c>
      <c r="T519" s="402">
        <v>-18483.02</v>
      </c>
      <c r="U519" s="402">
        <v>-8478.7999999999993</v>
      </c>
      <c r="V519" s="402">
        <v>0</v>
      </c>
      <c r="W519" s="402">
        <v>0</v>
      </c>
      <c r="X519" s="402">
        <v>0</v>
      </c>
      <c r="Y519" s="402">
        <v>0</v>
      </c>
      <c r="Z519" s="402">
        <v>0</v>
      </c>
      <c r="AA519" s="402">
        <v>-87767.51</v>
      </c>
    </row>
    <row r="520" spans="10:27" ht="15" customHeight="1" x14ac:dyDescent="0.25">
      <c r="J520" s="400" t="s">
        <v>336</v>
      </c>
      <c r="K520" s="401" t="s">
        <v>1305</v>
      </c>
      <c r="L520" s="402" t="s">
        <v>1306</v>
      </c>
      <c r="M520" s="402">
        <v>20405279.059999999</v>
      </c>
      <c r="N520" s="402">
        <v>0</v>
      </c>
      <c r="O520" s="402">
        <v>2916358.87</v>
      </c>
      <c r="P520" s="402">
        <v>2916666.67</v>
      </c>
      <c r="Q520" s="402">
        <v>2915512.6</v>
      </c>
      <c r="R520" s="402">
        <v>2916666.67</v>
      </c>
      <c r="S520" s="402">
        <v>2916666.67</v>
      </c>
      <c r="T520" s="402">
        <v>2916666.67</v>
      </c>
      <c r="U520" s="402">
        <v>2906740.91</v>
      </c>
      <c r="V520" s="402">
        <v>0</v>
      </c>
      <c r="W520" s="402">
        <v>0</v>
      </c>
      <c r="X520" s="402">
        <v>0</v>
      </c>
      <c r="Y520" s="402">
        <v>0</v>
      </c>
      <c r="Z520" s="402">
        <v>0</v>
      </c>
      <c r="AA520" s="402">
        <v>20405279.059999999</v>
      </c>
    </row>
    <row r="521" spans="10:27" ht="15" customHeight="1" x14ac:dyDescent="0.25">
      <c r="J521" s="400" t="s">
        <v>336</v>
      </c>
      <c r="K521" s="401" t="s">
        <v>1307</v>
      </c>
      <c r="L521" s="402" t="s">
        <v>1308</v>
      </c>
      <c r="M521" s="402">
        <v>-20416666.690000001</v>
      </c>
      <c r="N521" s="402">
        <v>0</v>
      </c>
      <c r="O521" s="402">
        <v>-2916666.67</v>
      </c>
      <c r="P521" s="402">
        <v>-2916666.67</v>
      </c>
      <c r="Q521" s="402">
        <v>-2916666.67</v>
      </c>
      <c r="R521" s="402">
        <v>-2916666.67</v>
      </c>
      <c r="S521" s="402">
        <v>-2916666.67</v>
      </c>
      <c r="T521" s="402">
        <v>-2916666.67</v>
      </c>
      <c r="U521" s="402">
        <v>-2916666.67</v>
      </c>
      <c r="V521" s="402">
        <v>0</v>
      </c>
      <c r="W521" s="402">
        <v>0</v>
      </c>
      <c r="X521" s="402">
        <v>0</v>
      </c>
      <c r="Y521" s="402">
        <v>0</v>
      </c>
      <c r="Z521" s="402">
        <v>0</v>
      </c>
      <c r="AA521" s="402">
        <v>-20416666.690000001</v>
      </c>
    </row>
    <row r="522" spans="10:27" ht="15" customHeight="1" x14ac:dyDescent="0.25">
      <c r="J522" s="400" t="s">
        <v>336</v>
      </c>
      <c r="K522" s="401" t="s">
        <v>1309</v>
      </c>
      <c r="L522" s="402" t="s">
        <v>1310</v>
      </c>
      <c r="M522" s="402">
        <v>16.13</v>
      </c>
      <c r="N522" s="402">
        <v>1705113.6770752999</v>
      </c>
      <c r="O522" s="402">
        <v>0</v>
      </c>
      <c r="P522" s="402">
        <v>0</v>
      </c>
      <c r="Q522" s="402">
        <v>0</v>
      </c>
      <c r="R522" s="402">
        <v>0</v>
      </c>
      <c r="S522" s="402">
        <v>16.13</v>
      </c>
      <c r="T522" s="402">
        <v>0</v>
      </c>
      <c r="U522" s="402">
        <v>0</v>
      </c>
      <c r="V522" s="402">
        <v>0</v>
      </c>
      <c r="W522" s="402">
        <v>0</v>
      </c>
      <c r="X522" s="402">
        <v>0</v>
      </c>
      <c r="Y522" s="402">
        <v>0</v>
      </c>
      <c r="Z522" s="402">
        <v>0</v>
      </c>
      <c r="AA522" s="402">
        <v>16.13</v>
      </c>
    </row>
    <row r="523" spans="10:27" ht="15" customHeight="1" x14ac:dyDescent="0.25">
      <c r="J523" s="400" t="s">
        <v>336</v>
      </c>
      <c r="K523" s="401" t="s">
        <v>1311</v>
      </c>
      <c r="L523" s="402" t="s">
        <v>1312</v>
      </c>
      <c r="M523" s="402">
        <v>0</v>
      </c>
      <c r="N523" s="402">
        <v>215646.72974790001</v>
      </c>
      <c r="O523" s="402">
        <v>0</v>
      </c>
      <c r="P523" s="402">
        <v>0</v>
      </c>
      <c r="Q523" s="402">
        <v>0</v>
      </c>
      <c r="R523" s="402">
        <v>0</v>
      </c>
      <c r="S523" s="402">
        <v>0</v>
      </c>
      <c r="T523" s="402">
        <v>0</v>
      </c>
      <c r="U523" s="402">
        <v>0</v>
      </c>
      <c r="V523" s="402">
        <v>0</v>
      </c>
      <c r="W523" s="402">
        <v>0</v>
      </c>
      <c r="X523" s="402">
        <v>0</v>
      </c>
      <c r="Y523" s="402">
        <v>0</v>
      </c>
      <c r="Z523" s="402">
        <v>0</v>
      </c>
      <c r="AA523" s="402">
        <v>0</v>
      </c>
    </row>
    <row r="524" spans="10:27" ht="15" customHeight="1" x14ac:dyDescent="0.25">
      <c r="J524" s="400" t="s">
        <v>336</v>
      </c>
      <c r="K524" s="401" t="s">
        <v>1313</v>
      </c>
      <c r="L524" s="402" t="s">
        <v>1314</v>
      </c>
      <c r="M524" s="402">
        <v>-117.35</v>
      </c>
      <c r="N524" s="402">
        <v>0</v>
      </c>
      <c r="O524" s="402">
        <v>0</v>
      </c>
      <c r="P524" s="402">
        <v>0</v>
      </c>
      <c r="Q524" s="402">
        <v>0</v>
      </c>
      <c r="R524" s="402">
        <v>0</v>
      </c>
      <c r="S524" s="402">
        <v>0</v>
      </c>
      <c r="T524" s="402">
        <v>0</v>
      </c>
      <c r="U524" s="402">
        <v>-117.35</v>
      </c>
      <c r="V524" s="402">
        <v>0</v>
      </c>
      <c r="W524" s="402">
        <v>0</v>
      </c>
      <c r="X524" s="402">
        <v>0</v>
      </c>
      <c r="Y524" s="402">
        <v>0</v>
      </c>
      <c r="Z524" s="402">
        <v>0</v>
      </c>
      <c r="AA524" s="402">
        <v>-117.35</v>
      </c>
    </row>
    <row r="525" spans="10:27" ht="15" customHeight="1" x14ac:dyDescent="0.25">
      <c r="J525" s="400" t="s">
        <v>336</v>
      </c>
      <c r="K525" s="401" t="s">
        <v>1315</v>
      </c>
      <c r="L525" s="402" t="s">
        <v>1316</v>
      </c>
      <c r="M525" s="402">
        <v>-44799.14</v>
      </c>
      <c r="N525" s="402">
        <v>0</v>
      </c>
      <c r="O525" s="402">
        <v>16945.599999999999</v>
      </c>
      <c r="P525" s="402">
        <v>-20806.62</v>
      </c>
      <c r="Q525" s="402">
        <v>-15130.34</v>
      </c>
      <c r="R525" s="402">
        <v>-14944.72</v>
      </c>
      <c r="S525" s="402">
        <v>-8683.18</v>
      </c>
      <c r="T525" s="402">
        <v>-11044.17</v>
      </c>
      <c r="U525" s="402">
        <v>8864.2900000000009</v>
      </c>
      <c r="V525" s="402">
        <v>0</v>
      </c>
      <c r="W525" s="402">
        <v>0</v>
      </c>
      <c r="X525" s="402">
        <v>0</v>
      </c>
      <c r="Y525" s="402">
        <v>0</v>
      </c>
      <c r="Z525" s="402">
        <v>0</v>
      </c>
      <c r="AA525" s="402">
        <v>-44799.14</v>
      </c>
    </row>
    <row r="526" spans="10:27" ht="15" customHeight="1" x14ac:dyDescent="0.25">
      <c r="J526" s="400" t="s">
        <v>336</v>
      </c>
      <c r="K526" s="401" t="s">
        <v>1317</v>
      </c>
      <c r="L526" s="402" t="s">
        <v>1318</v>
      </c>
      <c r="M526" s="402">
        <v>0</v>
      </c>
      <c r="N526" s="402">
        <v>500</v>
      </c>
      <c r="O526" s="402">
        <v>0</v>
      </c>
      <c r="P526" s="402">
        <v>0</v>
      </c>
      <c r="Q526" s="402">
        <v>0</v>
      </c>
      <c r="R526" s="402">
        <v>0</v>
      </c>
      <c r="S526" s="402">
        <v>0</v>
      </c>
      <c r="T526" s="402">
        <v>0</v>
      </c>
      <c r="U526" s="402">
        <v>0</v>
      </c>
      <c r="V526" s="402">
        <v>0</v>
      </c>
      <c r="W526" s="402">
        <v>0</v>
      </c>
      <c r="X526" s="402">
        <v>0</v>
      </c>
      <c r="Y526" s="402">
        <v>0</v>
      </c>
      <c r="Z526" s="402">
        <v>0</v>
      </c>
      <c r="AA526" s="402">
        <v>0</v>
      </c>
    </row>
    <row r="527" spans="10:27" ht="15" customHeight="1" x14ac:dyDescent="0.25">
      <c r="J527" s="400" t="s">
        <v>336</v>
      </c>
      <c r="K527" s="401" t="s">
        <v>1319</v>
      </c>
      <c r="L527" s="402" t="s">
        <v>1320</v>
      </c>
      <c r="M527" s="402">
        <v>7669267.3899999997</v>
      </c>
      <c r="N527" s="402">
        <v>10592984.079187199</v>
      </c>
      <c r="O527" s="402">
        <v>750305.11</v>
      </c>
      <c r="P527" s="402">
        <v>1071294.68</v>
      </c>
      <c r="Q527" s="402">
        <v>1638463.33</v>
      </c>
      <c r="R527" s="402">
        <v>986628.4</v>
      </c>
      <c r="S527" s="402">
        <v>954331.68</v>
      </c>
      <c r="T527" s="402">
        <v>1467410.29</v>
      </c>
      <c r="U527" s="402">
        <v>800838.9</v>
      </c>
      <c r="V527" s="402">
        <v>-1</v>
      </c>
      <c r="W527" s="402">
        <v>-1</v>
      </c>
      <c r="X527" s="402">
        <v>-1</v>
      </c>
      <c r="Y527" s="402">
        <v>-1</v>
      </c>
      <c r="Z527" s="402">
        <v>-1</v>
      </c>
      <c r="AA527" s="402">
        <v>7669267.3899999997</v>
      </c>
    </row>
    <row r="528" spans="10:27" ht="15" customHeight="1" x14ac:dyDescent="0.25">
      <c r="J528" s="400" t="s">
        <v>336</v>
      </c>
      <c r="K528" s="401" t="s">
        <v>1321</v>
      </c>
      <c r="L528" s="402" t="s">
        <v>1322</v>
      </c>
      <c r="M528" s="402">
        <v>0</v>
      </c>
      <c r="N528" s="402">
        <v>100</v>
      </c>
      <c r="O528" s="402">
        <v>0</v>
      </c>
      <c r="P528" s="402">
        <v>0</v>
      </c>
      <c r="Q528" s="402">
        <v>0</v>
      </c>
      <c r="R528" s="402">
        <v>0</v>
      </c>
      <c r="S528" s="402">
        <v>0</v>
      </c>
      <c r="T528" s="402">
        <v>0</v>
      </c>
      <c r="U528" s="402">
        <v>0</v>
      </c>
      <c r="V528" s="402">
        <v>0</v>
      </c>
      <c r="W528" s="402">
        <v>0</v>
      </c>
      <c r="X528" s="402">
        <v>0</v>
      </c>
      <c r="Y528" s="402">
        <v>0</v>
      </c>
      <c r="Z528" s="402">
        <v>0</v>
      </c>
      <c r="AA528" s="402">
        <v>0</v>
      </c>
    </row>
    <row r="529" spans="10:27" ht="15" customHeight="1" x14ac:dyDescent="0.25">
      <c r="J529" s="400" t="s">
        <v>336</v>
      </c>
      <c r="K529" s="401" t="s">
        <v>1323</v>
      </c>
      <c r="L529" s="402" t="s">
        <v>1324</v>
      </c>
      <c r="M529" s="402">
        <v>-289787.09000000003</v>
      </c>
      <c r="N529" s="402">
        <v>2689519.1836466999</v>
      </c>
      <c r="O529" s="402">
        <v>240686.7</v>
      </c>
      <c r="P529" s="402">
        <v>-37507.870000000003</v>
      </c>
      <c r="Q529" s="402">
        <v>-581451.52000000002</v>
      </c>
      <c r="R529" s="402">
        <v>20929.189999999999</v>
      </c>
      <c r="S529" s="402">
        <v>30786.03</v>
      </c>
      <c r="T529" s="402">
        <v>-5329.46</v>
      </c>
      <c r="U529" s="402">
        <v>42099.839999999997</v>
      </c>
      <c r="V529" s="402">
        <v>0</v>
      </c>
      <c r="W529" s="402">
        <v>0</v>
      </c>
      <c r="X529" s="402">
        <v>0</v>
      </c>
      <c r="Y529" s="402">
        <v>0</v>
      </c>
      <c r="Z529" s="402">
        <v>0</v>
      </c>
      <c r="AA529" s="402">
        <v>-289787.09000000003</v>
      </c>
    </row>
    <row r="530" spans="10:27" ht="15" customHeight="1" x14ac:dyDescent="0.25">
      <c r="J530" s="400" t="s">
        <v>336</v>
      </c>
      <c r="K530" s="401" t="s">
        <v>1325</v>
      </c>
      <c r="L530" s="402" t="s">
        <v>1326</v>
      </c>
      <c r="M530" s="402">
        <v>268401</v>
      </c>
      <c r="N530" s="402">
        <v>460116</v>
      </c>
      <c r="O530" s="402">
        <v>38343</v>
      </c>
      <c r="P530" s="402">
        <v>38343</v>
      </c>
      <c r="Q530" s="402">
        <v>38343</v>
      </c>
      <c r="R530" s="402">
        <v>38343</v>
      </c>
      <c r="S530" s="402">
        <v>38343</v>
      </c>
      <c r="T530" s="402">
        <v>38343</v>
      </c>
      <c r="U530" s="402">
        <v>38343</v>
      </c>
      <c r="V530" s="402">
        <v>0</v>
      </c>
      <c r="W530" s="402">
        <v>0</v>
      </c>
      <c r="X530" s="402">
        <v>0</v>
      </c>
      <c r="Y530" s="402">
        <v>0</v>
      </c>
      <c r="Z530" s="402">
        <v>0</v>
      </c>
      <c r="AA530" s="402">
        <v>268401</v>
      </c>
    </row>
    <row r="531" spans="10:27" ht="15" customHeight="1" x14ac:dyDescent="0.25">
      <c r="J531" s="400" t="s">
        <v>336</v>
      </c>
      <c r="K531" s="401" t="s">
        <v>1327</v>
      </c>
      <c r="L531" s="402" t="s">
        <v>1328</v>
      </c>
      <c r="M531" s="402">
        <v>49278.65</v>
      </c>
      <c r="N531" s="402">
        <v>0</v>
      </c>
      <c r="O531" s="402">
        <v>307.8</v>
      </c>
      <c r="P531" s="402">
        <v>46074.11</v>
      </c>
      <c r="Q531" s="402">
        <v>1330.78</v>
      </c>
      <c r="R531" s="402">
        <v>311.95</v>
      </c>
      <c r="S531" s="402">
        <v>0</v>
      </c>
      <c r="T531" s="402">
        <v>0</v>
      </c>
      <c r="U531" s="402">
        <v>0</v>
      </c>
      <c r="V531" s="402">
        <v>1254.01</v>
      </c>
      <c r="W531" s="402">
        <v>0</v>
      </c>
      <c r="X531" s="402">
        <v>0</v>
      </c>
      <c r="Y531" s="402">
        <v>0</v>
      </c>
      <c r="Z531" s="402">
        <v>0</v>
      </c>
      <c r="AA531" s="402">
        <v>49278.65</v>
      </c>
    </row>
    <row r="532" spans="10:27" ht="15" customHeight="1" x14ac:dyDescent="0.25">
      <c r="J532" s="400" t="s">
        <v>336</v>
      </c>
      <c r="K532" s="401" t="s">
        <v>1329</v>
      </c>
      <c r="L532" s="402" t="s">
        <v>1330</v>
      </c>
      <c r="M532" s="402">
        <v>-13716655.279999999</v>
      </c>
      <c r="N532" s="402">
        <v>0</v>
      </c>
      <c r="O532" s="402">
        <v>-3030361.7</v>
      </c>
      <c r="P532" s="402">
        <v>-2433368.09</v>
      </c>
      <c r="Q532" s="402">
        <v>-1280175.05</v>
      </c>
      <c r="R532" s="402">
        <v>-1913136.89</v>
      </c>
      <c r="S532" s="402">
        <v>-1370220.41</v>
      </c>
      <c r="T532" s="402">
        <v>-1362471.07</v>
      </c>
      <c r="U532" s="402">
        <v>-2326922.0699999998</v>
      </c>
      <c r="V532" s="402">
        <v>0</v>
      </c>
      <c r="W532" s="402">
        <v>0</v>
      </c>
      <c r="X532" s="402">
        <v>0</v>
      </c>
      <c r="Y532" s="402">
        <v>0</v>
      </c>
      <c r="Z532" s="402">
        <v>0</v>
      </c>
      <c r="AA532" s="402">
        <v>-13716655.279999999</v>
      </c>
    </row>
    <row r="533" spans="10:27" ht="15" customHeight="1" x14ac:dyDescent="0.25">
      <c r="J533" s="400" t="s">
        <v>336</v>
      </c>
      <c r="K533" s="401" t="s">
        <v>1331</v>
      </c>
      <c r="L533" s="402" t="s">
        <v>1332</v>
      </c>
      <c r="M533" s="402">
        <v>-75753.759999999995</v>
      </c>
      <c r="N533" s="402">
        <v>0</v>
      </c>
      <c r="O533" s="402">
        <v>-11786.12</v>
      </c>
      <c r="P533" s="402">
        <v>-11625.21</v>
      </c>
      <c r="Q533" s="402">
        <v>-12930.01</v>
      </c>
      <c r="R533" s="402">
        <v>-10515.68</v>
      </c>
      <c r="S533" s="402">
        <v>-12605.28</v>
      </c>
      <c r="T533" s="402">
        <v>-6869.5</v>
      </c>
      <c r="U533" s="402">
        <v>-9421.9599999999991</v>
      </c>
      <c r="V533" s="402">
        <v>0</v>
      </c>
      <c r="W533" s="402">
        <v>0</v>
      </c>
      <c r="X533" s="402">
        <v>0</v>
      </c>
      <c r="Y533" s="402">
        <v>0</v>
      </c>
      <c r="Z533" s="402">
        <v>0</v>
      </c>
      <c r="AA533" s="402">
        <v>-75753.759999999995</v>
      </c>
    </row>
    <row r="534" spans="10:27" ht="15" customHeight="1" x14ac:dyDescent="0.25">
      <c r="J534" s="400" t="s">
        <v>336</v>
      </c>
      <c r="K534" s="401" t="s">
        <v>1333</v>
      </c>
      <c r="L534" s="402" t="s">
        <v>1334</v>
      </c>
      <c r="M534" s="402">
        <v>-53710.18</v>
      </c>
      <c r="N534" s="402">
        <v>0</v>
      </c>
      <c r="O534" s="402">
        <v>-467.65</v>
      </c>
      <c r="P534" s="402">
        <v>-753.97</v>
      </c>
      <c r="Q534" s="402">
        <v>-10256.530000000001</v>
      </c>
      <c r="R534" s="402">
        <v>-22991.61</v>
      </c>
      <c r="S534" s="402">
        <v>-14682.16</v>
      </c>
      <c r="T534" s="402">
        <v>-4080.96</v>
      </c>
      <c r="U534" s="402">
        <v>-477.3</v>
      </c>
      <c r="V534" s="402">
        <v>0</v>
      </c>
      <c r="W534" s="402">
        <v>0</v>
      </c>
      <c r="X534" s="402">
        <v>0</v>
      </c>
      <c r="Y534" s="402">
        <v>0</v>
      </c>
      <c r="Z534" s="402">
        <v>0</v>
      </c>
      <c r="AA534" s="402">
        <v>-53710.18</v>
      </c>
    </row>
    <row r="535" spans="10:27" ht="15" customHeight="1" x14ac:dyDescent="0.25">
      <c r="J535" s="400" t="s">
        <v>336</v>
      </c>
      <c r="K535" s="401" t="s">
        <v>1335</v>
      </c>
      <c r="L535" s="402" t="s">
        <v>1336</v>
      </c>
      <c r="M535" s="402">
        <v>-7729.54</v>
      </c>
      <c r="N535" s="402">
        <v>0</v>
      </c>
      <c r="O535" s="402">
        <v>-107.6</v>
      </c>
      <c r="P535" s="402">
        <v>-359.01</v>
      </c>
      <c r="Q535" s="402">
        <v>-2585.7399999999998</v>
      </c>
      <c r="R535" s="402">
        <v>-1648.26</v>
      </c>
      <c r="S535" s="402">
        <v>-2044.65</v>
      </c>
      <c r="T535" s="402">
        <v>-918.11</v>
      </c>
      <c r="U535" s="402">
        <v>-66.17</v>
      </c>
      <c r="V535" s="402">
        <v>0</v>
      </c>
      <c r="W535" s="402">
        <v>0</v>
      </c>
      <c r="X535" s="402">
        <v>0</v>
      </c>
      <c r="Y535" s="402">
        <v>0</v>
      </c>
      <c r="Z535" s="402">
        <v>0</v>
      </c>
      <c r="AA535" s="402">
        <v>-7729.54</v>
      </c>
    </row>
    <row r="536" spans="10:27" ht="15" customHeight="1" x14ac:dyDescent="0.25">
      <c r="J536" s="400" t="s">
        <v>336</v>
      </c>
      <c r="K536" s="401" t="s">
        <v>1337</v>
      </c>
      <c r="L536" s="402" t="s">
        <v>1338</v>
      </c>
      <c r="M536" s="402">
        <v>-1630019.34</v>
      </c>
      <c r="N536" s="402">
        <v>0</v>
      </c>
      <c r="O536" s="402">
        <v>-208621.54</v>
      </c>
      <c r="P536" s="402">
        <v>-387805.09</v>
      </c>
      <c r="Q536" s="402">
        <v>-189574.13</v>
      </c>
      <c r="R536" s="402">
        <v>-206534.45</v>
      </c>
      <c r="S536" s="402">
        <v>-286147.03000000003</v>
      </c>
      <c r="T536" s="402">
        <v>-208922.07</v>
      </c>
      <c r="U536" s="402">
        <v>-142415.03</v>
      </c>
      <c r="V536" s="402">
        <v>0</v>
      </c>
      <c r="W536" s="402">
        <v>0</v>
      </c>
      <c r="X536" s="402">
        <v>0</v>
      </c>
      <c r="Y536" s="402">
        <v>0</v>
      </c>
      <c r="Z536" s="402">
        <v>0</v>
      </c>
      <c r="AA536" s="402">
        <v>-1630019.34</v>
      </c>
    </row>
    <row r="537" spans="10:27" ht="15" customHeight="1" x14ac:dyDescent="0.25">
      <c r="J537" s="400" t="s">
        <v>336</v>
      </c>
      <c r="K537" s="401" t="s">
        <v>1339</v>
      </c>
      <c r="L537" s="402" t="s">
        <v>1340</v>
      </c>
      <c r="M537" s="402">
        <v>-14409.66</v>
      </c>
      <c r="N537" s="402">
        <v>0</v>
      </c>
      <c r="O537" s="402">
        <v>-681.7</v>
      </c>
      <c r="P537" s="402">
        <v>-557.14</v>
      </c>
      <c r="Q537" s="402">
        <v>-763.59</v>
      </c>
      <c r="R537" s="402">
        <v>-677.77</v>
      </c>
      <c r="S537" s="402">
        <v>-299.66000000000003</v>
      </c>
      <c r="T537" s="402">
        <v>-3114.25</v>
      </c>
      <c r="U537" s="402">
        <v>-8315.5499999999993</v>
      </c>
      <c r="V537" s="402">
        <v>0</v>
      </c>
      <c r="W537" s="402">
        <v>0</v>
      </c>
      <c r="X537" s="402">
        <v>0</v>
      </c>
      <c r="Y537" s="402">
        <v>0</v>
      </c>
      <c r="Z537" s="402">
        <v>0</v>
      </c>
      <c r="AA537" s="402">
        <v>-14409.66</v>
      </c>
    </row>
    <row r="538" spans="10:27" ht="15" customHeight="1" x14ac:dyDescent="0.25">
      <c r="J538" s="400" t="s">
        <v>336</v>
      </c>
      <c r="K538" s="401" t="s">
        <v>1341</v>
      </c>
      <c r="L538" s="402" t="s">
        <v>1342</v>
      </c>
      <c r="M538" s="402">
        <v>-15492186.439999999</v>
      </c>
      <c r="N538" s="402">
        <v>0</v>
      </c>
      <c r="O538" s="402">
        <v>-1448189.37</v>
      </c>
      <c r="P538" s="402">
        <v>-1552542.01</v>
      </c>
      <c r="Q538" s="402">
        <v>-2608478.7599999998</v>
      </c>
      <c r="R538" s="402">
        <v>-2171873.16</v>
      </c>
      <c r="S538" s="402">
        <v>-2896393.94</v>
      </c>
      <c r="T538" s="402">
        <v>-2955394.93</v>
      </c>
      <c r="U538" s="402">
        <v>-1859314.27</v>
      </c>
      <c r="V538" s="402">
        <v>0</v>
      </c>
      <c r="W538" s="402">
        <v>0</v>
      </c>
      <c r="X538" s="402">
        <v>0</v>
      </c>
      <c r="Y538" s="402">
        <v>0</v>
      </c>
      <c r="Z538" s="402">
        <v>0</v>
      </c>
      <c r="AA538" s="402">
        <v>-15492186.439999999</v>
      </c>
    </row>
    <row r="539" spans="10:27" ht="15" customHeight="1" x14ac:dyDescent="0.25">
      <c r="J539" s="400" t="s">
        <v>336</v>
      </c>
      <c r="K539" s="401" t="s">
        <v>1343</v>
      </c>
      <c r="L539" s="402" t="s">
        <v>1344</v>
      </c>
      <c r="M539" s="402">
        <v>-16647679.949999999</v>
      </c>
      <c r="N539" s="402">
        <v>0</v>
      </c>
      <c r="O539" s="402">
        <v>-2218575.2200000002</v>
      </c>
      <c r="P539" s="402">
        <v>-2142385.38</v>
      </c>
      <c r="Q539" s="402">
        <v>-2095478.12</v>
      </c>
      <c r="R539" s="402">
        <v>-2042307.96</v>
      </c>
      <c r="S539" s="402">
        <v>-2524488.56</v>
      </c>
      <c r="T539" s="402">
        <v>-2524411.87</v>
      </c>
      <c r="U539" s="402">
        <v>-3100032.84</v>
      </c>
      <c r="V539" s="402">
        <v>0</v>
      </c>
      <c r="W539" s="402">
        <v>0</v>
      </c>
      <c r="X539" s="402">
        <v>0</v>
      </c>
      <c r="Y539" s="402">
        <v>0</v>
      </c>
      <c r="Z539" s="402">
        <v>0</v>
      </c>
      <c r="AA539" s="402">
        <v>-16647679.949999999</v>
      </c>
    </row>
    <row r="540" spans="10:27" ht="15" customHeight="1" x14ac:dyDescent="0.25">
      <c r="J540" s="400" t="s">
        <v>336</v>
      </c>
      <c r="K540" s="401" t="s">
        <v>1345</v>
      </c>
      <c r="L540" s="402" t="s">
        <v>1346</v>
      </c>
      <c r="M540" s="402">
        <v>1838.08</v>
      </c>
      <c r="N540" s="402">
        <v>0</v>
      </c>
      <c r="O540" s="402">
        <v>0</v>
      </c>
      <c r="P540" s="402">
        <v>0</v>
      </c>
      <c r="Q540" s="402">
        <v>1838.08</v>
      </c>
      <c r="R540" s="402">
        <v>0</v>
      </c>
      <c r="S540" s="402">
        <v>0</v>
      </c>
      <c r="T540" s="402">
        <v>0</v>
      </c>
      <c r="U540" s="402">
        <v>0</v>
      </c>
      <c r="V540" s="402">
        <v>0</v>
      </c>
      <c r="W540" s="402">
        <v>0</v>
      </c>
      <c r="X540" s="402">
        <v>0</v>
      </c>
      <c r="Y540" s="402">
        <v>0</v>
      </c>
      <c r="Z540" s="402">
        <v>0</v>
      </c>
      <c r="AA540" s="402">
        <v>1838.08</v>
      </c>
    </row>
    <row r="541" spans="10:27" ht="15" customHeight="1" x14ac:dyDescent="0.25">
      <c r="J541" s="400" t="s">
        <v>336</v>
      </c>
      <c r="K541" s="401" t="s">
        <v>1347</v>
      </c>
      <c r="L541" s="402" t="s">
        <v>1348</v>
      </c>
      <c r="M541" s="402">
        <v>-3664720.69</v>
      </c>
      <c r="N541" s="402">
        <v>0</v>
      </c>
      <c r="O541" s="402">
        <v>-531115.53</v>
      </c>
      <c r="P541" s="402">
        <v>-477470.98</v>
      </c>
      <c r="Q541" s="402">
        <v>-417149.95</v>
      </c>
      <c r="R541" s="402">
        <v>-469495.78</v>
      </c>
      <c r="S541" s="402">
        <v>-530628.80000000005</v>
      </c>
      <c r="T541" s="402">
        <v>-737752.06</v>
      </c>
      <c r="U541" s="402">
        <v>-501107.59</v>
      </c>
      <c r="V541" s="402">
        <v>0</v>
      </c>
      <c r="W541" s="402">
        <v>0</v>
      </c>
      <c r="X541" s="402">
        <v>0</v>
      </c>
      <c r="Y541" s="402">
        <v>0</v>
      </c>
      <c r="Z541" s="402">
        <v>0</v>
      </c>
      <c r="AA541" s="402">
        <v>-3664720.69</v>
      </c>
    </row>
    <row r="542" spans="10:27" ht="15" customHeight="1" x14ac:dyDescent="0.25">
      <c r="J542" s="400" t="s">
        <v>336</v>
      </c>
      <c r="K542" s="401" t="s">
        <v>1349</v>
      </c>
      <c r="L542" s="402" t="s">
        <v>1350</v>
      </c>
      <c r="M542" s="402">
        <v>-7104889.7999999998</v>
      </c>
      <c r="N542" s="402">
        <v>0</v>
      </c>
      <c r="O542" s="402">
        <v>-1011492.02</v>
      </c>
      <c r="P542" s="402">
        <v>-978769.81</v>
      </c>
      <c r="Q542" s="402">
        <v>-1019450.51</v>
      </c>
      <c r="R542" s="402">
        <v>-1051740.8899999999</v>
      </c>
      <c r="S542" s="402">
        <v>-905271.35</v>
      </c>
      <c r="T542" s="402">
        <v>-1064674.07</v>
      </c>
      <c r="U542" s="402">
        <v>-1073491.1499999999</v>
      </c>
      <c r="V542" s="402">
        <v>0</v>
      </c>
      <c r="W542" s="402">
        <v>0</v>
      </c>
      <c r="X542" s="402">
        <v>0</v>
      </c>
      <c r="Y542" s="402">
        <v>0</v>
      </c>
      <c r="Z542" s="402">
        <v>0</v>
      </c>
      <c r="AA542" s="402">
        <v>-7104889.7999999998</v>
      </c>
    </row>
    <row r="543" spans="10:27" ht="15" customHeight="1" x14ac:dyDescent="0.25">
      <c r="J543" s="400" t="s">
        <v>336</v>
      </c>
      <c r="K543" s="401" t="s">
        <v>1351</v>
      </c>
      <c r="L543" s="402" t="s">
        <v>1352</v>
      </c>
      <c r="M543" s="402">
        <v>-207471.81</v>
      </c>
      <c r="N543" s="402">
        <v>0</v>
      </c>
      <c r="O543" s="402">
        <v>-29638.83</v>
      </c>
      <c r="P543" s="402">
        <v>-29638.83</v>
      </c>
      <c r="Q543" s="402">
        <v>-29638.83</v>
      </c>
      <c r="R543" s="402">
        <v>-29638.83</v>
      </c>
      <c r="S543" s="402">
        <v>-29638.83</v>
      </c>
      <c r="T543" s="402">
        <v>-29638.83</v>
      </c>
      <c r="U543" s="402">
        <v>-29638.83</v>
      </c>
      <c r="V543" s="402">
        <v>0</v>
      </c>
      <c r="W543" s="402">
        <v>0</v>
      </c>
      <c r="X543" s="402">
        <v>0</v>
      </c>
      <c r="Y543" s="402">
        <v>0</v>
      </c>
      <c r="Z543" s="402">
        <v>0</v>
      </c>
      <c r="AA543" s="402">
        <v>-207471.81</v>
      </c>
    </row>
    <row r="544" spans="10:27" ht="15" customHeight="1" x14ac:dyDescent="0.25">
      <c r="J544" s="400" t="s">
        <v>336</v>
      </c>
      <c r="K544" s="401" t="s">
        <v>1353</v>
      </c>
      <c r="L544" s="402" t="s">
        <v>1354</v>
      </c>
      <c r="M544" s="402">
        <v>-192571.12</v>
      </c>
      <c r="N544" s="402">
        <v>0</v>
      </c>
      <c r="O544" s="402">
        <v>-27510.16</v>
      </c>
      <c r="P544" s="402">
        <v>-27510.16</v>
      </c>
      <c r="Q544" s="402">
        <v>-27510.16</v>
      </c>
      <c r="R544" s="402">
        <v>-27510.16</v>
      </c>
      <c r="S544" s="402">
        <v>-27510.16</v>
      </c>
      <c r="T544" s="402">
        <v>-27510.16</v>
      </c>
      <c r="U544" s="402">
        <v>-27510.16</v>
      </c>
      <c r="V544" s="402">
        <v>0</v>
      </c>
      <c r="W544" s="402">
        <v>0</v>
      </c>
      <c r="X544" s="402">
        <v>0</v>
      </c>
      <c r="Y544" s="402">
        <v>0</v>
      </c>
      <c r="Z544" s="402">
        <v>0</v>
      </c>
      <c r="AA544" s="402">
        <v>-192571.12</v>
      </c>
    </row>
    <row r="545" spans="10:27" ht="15" customHeight="1" x14ac:dyDescent="0.25">
      <c r="J545" s="400" t="s">
        <v>336</v>
      </c>
      <c r="K545" s="401" t="s">
        <v>1355</v>
      </c>
      <c r="L545" s="402" t="s">
        <v>1356</v>
      </c>
      <c r="M545" s="402">
        <v>-622163.6</v>
      </c>
      <c r="N545" s="402">
        <v>0</v>
      </c>
      <c r="O545" s="402">
        <v>-152706.39000000001</v>
      </c>
      <c r="P545" s="402">
        <v>-1224.1600000000001</v>
      </c>
      <c r="Q545" s="402">
        <v>-80111.509999999995</v>
      </c>
      <c r="R545" s="402">
        <v>-112504.38</v>
      </c>
      <c r="S545" s="402">
        <v>-98206.09</v>
      </c>
      <c r="T545" s="402">
        <v>-97162.85</v>
      </c>
      <c r="U545" s="402">
        <v>-80248.22</v>
      </c>
      <c r="V545" s="402">
        <v>0</v>
      </c>
      <c r="W545" s="402">
        <v>0</v>
      </c>
      <c r="X545" s="402">
        <v>0</v>
      </c>
      <c r="Y545" s="402">
        <v>0</v>
      </c>
      <c r="Z545" s="402">
        <v>0</v>
      </c>
      <c r="AA545" s="402">
        <v>-622163.6</v>
      </c>
    </row>
    <row r="546" spans="10:27" ht="15" customHeight="1" x14ac:dyDescent="0.25">
      <c r="J546" s="400" t="s">
        <v>336</v>
      </c>
      <c r="K546" s="401" t="s">
        <v>1357</v>
      </c>
      <c r="L546" s="402" t="s">
        <v>1358</v>
      </c>
      <c r="M546" s="402">
        <v>-225631.85</v>
      </c>
      <c r="N546" s="402">
        <v>0</v>
      </c>
      <c r="O546" s="402">
        <v>-34781.629999999997</v>
      </c>
      <c r="P546" s="402">
        <v>-29744.1</v>
      </c>
      <c r="Q546" s="402">
        <v>-36303.68</v>
      </c>
      <c r="R546" s="402">
        <v>-30019.96</v>
      </c>
      <c r="S546" s="402">
        <v>-24893.31</v>
      </c>
      <c r="T546" s="402">
        <v>-33202.21</v>
      </c>
      <c r="U546" s="402">
        <v>-36686.959999999999</v>
      </c>
      <c r="V546" s="402">
        <v>0</v>
      </c>
      <c r="W546" s="402">
        <v>0</v>
      </c>
      <c r="X546" s="402">
        <v>0</v>
      </c>
      <c r="Y546" s="402">
        <v>0</v>
      </c>
      <c r="Z546" s="402">
        <v>0</v>
      </c>
      <c r="AA546" s="402">
        <v>-225631.85</v>
      </c>
    </row>
    <row r="547" spans="10:27" ht="15" customHeight="1" x14ac:dyDescent="0.25">
      <c r="J547" s="400" t="s">
        <v>336</v>
      </c>
      <c r="K547" s="401" t="s">
        <v>1359</v>
      </c>
      <c r="L547" s="402" t="s">
        <v>1360</v>
      </c>
      <c r="M547" s="402">
        <v>-339917.84</v>
      </c>
      <c r="N547" s="402">
        <v>0</v>
      </c>
      <c r="O547" s="402">
        <v>-35035.06</v>
      </c>
      <c r="P547" s="402">
        <v>-60058.62</v>
      </c>
      <c r="Q547" s="402">
        <v>-48570.26</v>
      </c>
      <c r="R547" s="402">
        <v>-45134.62</v>
      </c>
      <c r="S547" s="402">
        <v>-49669.69</v>
      </c>
      <c r="T547" s="402">
        <v>-55283.14</v>
      </c>
      <c r="U547" s="402">
        <v>-46166.45</v>
      </c>
      <c r="V547" s="402">
        <v>0</v>
      </c>
      <c r="W547" s="402">
        <v>0</v>
      </c>
      <c r="X547" s="402">
        <v>0</v>
      </c>
      <c r="Y547" s="402">
        <v>0</v>
      </c>
      <c r="Z547" s="402">
        <v>0</v>
      </c>
      <c r="AA547" s="402">
        <v>-339917.84</v>
      </c>
    </row>
    <row r="548" spans="10:27" ht="15" customHeight="1" x14ac:dyDescent="0.25">
      <c r="J548" s="400" t="s">
        <v>336</v>
      </c>
      <c r="K548" s="401" t="s">
        <v>1361</v>
      </c>
      <c r="L548" s="402" t="s">
        <v>1362</v>
      </c>
      <c r="M548" s="402">
        <v>-488416.09497159999</v>
      </c>
      <c r="N548" s="402">
        <v>0</v>
      </c>
      <c r="O548" s="402">
        <v>0</v>
      </c>
      <c r="P548" s="402">
        <v>0</v>
      </c>
      <c r="Q548" s="402">
        <v>0</v>
      </c>
      <c r="R548" s="402">
        <v>0</v>
      </c>
      <c r="S548" s="402">
        <v>0</v>
      </c>
      <c r="T548" s="402">
        <v>0</v>
      </c>
      <c r="U548" s="402">
        <v>0</v>
      </c>
      <c r="V548" s="402">
        <v>-45617.5</v>
      </c>
      <c r="W548" s="402">
        <v>-110699.6487429</v>
      </c>
      <c r="X548" s="402">
        <v>-110699.6487429</v>
      </c>
      <c r="Y548" s="402">
        <v>-110699.6487429</v>
      </c>
      <c r="Z548" s="402">
        <v>-110699.6487429</v>
      </c>
      <c r="AA548" s="402">
        <v>-488416.09497159999</v>
      </c>
    </row>
    <row r="549" spans="10:27" ht="15" customHeight="1" x14ac:dyDescent="0.25">
      <c r="J549" s="400" t="s">
        <v>336</v>
      </c>
      <c r="K549" s="401" t="s">
        <v>1363</v>
      </c>
      <c r="L549" s="402" t="s">
        <v>1364</v>
      </c>
      <c r="M549" s="402">
        <v>-8554.5381128999998</v>
      </c>
      <c r="N549" s="402">
        <v>0</v>
      </c>
      <c r="O549" s="402">
        <v>0</v>
      </c>
      <c r="P549" s="402">
        <v>0</v>
      </c>
      <c r="Q549" s="402">
        <v>0</v>
      </c>
      <c r="R549" s="402">
        <v>0</v>
      </c>
      <c r="S549" s="402">
        <v>0</v>
      </c>
      <c r="T549" s="402">
        <v>0</v>
      </c>
      <c r="U549" s="402">
        <v>0</v>
      </c>
      <c r="V549" s="402">
        <v>-2007.9643593000001</v>
      </c>
      <c r="W549" s="402">
        <v>-1683.8346268</v>
      </c>
      <c r="X549" s="402">
        <v>-1589.45225</v>
      </c>
      <c r="Y549" s="402">
        <v>-1589.45225</v>
      </c>
      <c r="Z549" s="402">
        <v>-1683.8346268</v>
      </c>
      <c r="AA549" s="402">
        <v>-8554.5381128999998</v>
      </c>
    </row>
    <row r="550" spans="10:27" ht="15" customHeight="1" x14ac:dyDescent="0.25">
      <c r="J550" s="400" t="s">
        <v>336</v>
      </c>
      <c r="K550" s="401" t="s">
        <v>1365</v>
      </c>
      <c r="L550" s="402" t="s">
        <v>1366</v>
      </c>
      <c r="M550" s="402">
        <v>-151950.27704459999</v>
      </c>
      <c r="N550" s="402">
        <v>0</v>
      </c>
      <c r="O550" s="402">
        <v>0</v>
      </c>
      <c r="P550" s="402">
        <v>0</v>
      </c>
      <c r="Q550" s="402">
        <v>0</v>
      </c>
      <c r="R550" s="402">
        <v>0</v>
      </c>
      <c r="S550" s="402">
        <v>0</v>
      </c>
      <c r="T550" s="402">
        <v>0</v>
      </c>
      <c r="U550" s="402">
        <v>0</v>
      </c>
      <c r="V550" s="402">
        <v>-32056.034660699999</v>
      </c>
      <c r="W550" s="402">
        <v>-29268.553254599999</v>
      </c>
      <c r="X550" s="402">
        <v>-30662.292447799999</v>
      </c>
      <c r="Y550" s="402">
        <v>-30678.9464367</v>
      </c>
      <c r="Z550" s="402">
        <v>-29284.450244799998</v>
      </c>
      <c r="AA550" s="402">
        <v>-151950.27704459999</v>
      </c>
    </row>
    <row r="551" spans="10:27" ht="15" customHeight="1" x14ac:dyDescent="0.25">
      <c r="J551" s="400" t="s">
        <v>336</v>
      </c>
      <c r="K551" s="401" t="s">
        <v>1367</v>
      </c>
      <c r="L551" s="402" t="s">
        <v>1368</v>
      </c>
      <c r="M551" s="402">
        <v>-76030</v>
      </c>
      <c r="N551" s="402">
        <v>0</v>
      </c>
      <c r="O551" s="402">
        <v>0</v>
      </c>
      <c r="P551" s="402">
        <v>0</v>
      </c>
      <c r="Q551" s="402">
        <v>0</v>
      </c>
      <c r="R551" s="402">
        <v>0</v>
      </c>
      <c r="S551" s="402">
        <v>0</v>
      </c>
      <c r="T551" s="402">
        <v>0</v>
      </c>
      <c r="U551" s="402">
        <v>0</v>
      </c>
      <c r="V551" s="402">
        <v>-15206</v>
      </c>
      <c r="W551" s="402">
        <v>-15206</v>
      </c>
      <c r="X551" s="402">
        <v>-15206</v>
      </c>
      <c r="Y551" s="402">
        <v>-15206</v>
      </c>
      <c r="Z551" s="402">
        <v>-15206</v>
      </c>
      <c r="AA551" s="402">
        <v>-76030</v>
      </c>
    </row>
    <row r="552" spans="10:27" ht="15" customHeight="1" x14ac:dyDescent="0.25">
      <c r="J552" s="400" t="s">
        <v>336</v>
      </c>
      <c r="K552" s="401" t="s">
        <v>1369</v>
      </c>
      <c r="L552" s="402" t="s">
        <v>1370</v>
      </c>
      <c r="M552" s="402">
        <v>0</v>
      </c>
      <c r="N552" s="402">
        <v>-156000</v>
      </c>
      <c r="O552" s="402">
        <v>0</v>
      </c>
      <c r="P552" s="402">
        <v>0</v>
      </c>
      <c r="Q552" s="402">
        <v>0</v>
      </c>
      <c r="R552" s="402">
        <v>0</v>
      </c>
      <c r="S552" s="402">
        <v>0</v>
      </c>
      <c r="T552" s="402">
        <v>0</v>
      </c>
      <c r="U552" s="402">
        <v>0</v>
      </c>
      <c r="V552" s="402">
        <v>0</v>
      </c>
      <c r="W552" s="402">
        <v>0</v>
      </c>
      <c r="X552" s="402">
        <v>0</v>
      </c>
      <c r="Y552" s="402">
        <v>0</v>
      </c>
      <c r="Z552" s="402">
        <v>0</v>
      </c>
      <c r="AA552" s="402">
        <v>0</v>
      </c>
    </row>
    <row r="553" spans="10:27" ht="15" customHeight="1" x14ac:dyDescent="0.25">
      <c r="J553" s="400" t="s">
        <v>336</v>
      </c>
      <c r="K553" s="401" t="s">
        <v>1371</v>
      </c>
      <c r="L553" s="402" t="s">
        <v>1372</v>
      </c>
      <c r="M553" s="402">
        <v>-2965269.0658996999</v>
      </c>
      <c r="N553" s="402">
        <v>-6937529.9782983996</v>
      </c>
      <c r="O553" s="402">
        <v>0</v>
      </c>
      <c r="P553" s="402">
        <v>0</v>
      </c>
      <c r="Q553" s="402">
        <v>0</v>
      </c>
      <c r="R553" s="402">
        <v>0</v>
      </c>
      <c r="S553" s="402">
        <v>0</v>
      </c>
      <c r="T553" s="402">
        <v>0</v>
      </c>
      <c r="U553" s="402">
        <v>0</v>
      </c>
      <c r="V553" s="402">
        <v>-497948.5397652</v>
      </c>
      <c r="W553" s="402">
        <v>-695799.93019059999</v>
      </c>
      <c r="X553" s="402">
        <v>-520019.82170099998</v>
      </c>
      <c r="Y553" s="402">
        <v>-550577.90573230002</v>
      </c>
      <c r="Z553" s="402">
        <v>-700922.86851059995</v>
      </c>
      <c r="AA553" s="402">
        <v>-2965269.0658996999</v>
      </c>
    </row>
    <row r="554" spans="10:27" ht="15" customHeight="1" x14ac:dyDescent="0.25">
      <c r="J554" s="400" t="s">
        <v>336</v>
      </c>
      <c r="K554" s="401" t="s">
        <v>1373</v>
      </c>
      <c r="L554" s="402" t="s">
        <v>1374</v>
      </c>
      <c r="M554" s="402">
        <v>-5053523.4842416998</v>
      </c>
      <c r="N554" s="402">
        <v>-11925840.609510699</v>
      </c>
      <c r="O554" s="402">
        <v>0</v>
      </c>
      <c r="P554" s="402">
        <v>0</v>
      </c>
      <c r="Q554" s="402">
        <v>0</v>
      </c>
      <c r="R554" s="402">
        <v>0</v>
      </c>
      <c r="S554" s="402">
        <v>0</v>
      </c>
      <c r="T554" s="402">
        <v>0</v>
      </c>
      <c r="U554" s="402">
        <v>0</v>
      </c>
      <c r="V554" s="402">
        <v>-1018876.4762584</v>
      </c>
      <c r="W554" s="402">
        <v>-946447.36474660004</v>
      </c>
      <c r="X554" s="402">
        <v>-1126979.2263941001</v>
      </c>
      <c r="Y554" s="402">
        <v>-971383.90105079999</v>
      </c>
      <c r="Z554" s="402">
        <v>-989836.51579179999</v>
      </c>
      <c r="AA554" s="402">
        <v>-5053523.4842416998</v>
      </c>
    </row>
    <row r="555" spans="10:27" ht="15" customHeight="1" x14ac:dyDescent="0.25">
      <c r="J555" s="400" t="s">
        <v>336</v>
      </c>
      <c r="K555" s="401" t="s">
        <v>1375</v>
      </c>
      <c r="L555" s="402" t="s">
        <v>1376</v>
      </c>
      <c r="M555" s="402">
        <v>-866638.72073099995</v>
      </c>
      <c r="N555" s="402">
        <v>-1173020.8815168</v>
      </c>
      <c r="O555" s="402">
        <v>0</v>
      </c>
      <c r="P555" s="402">
        <v>0</v>
      </c>
      <c r="Q555" s="402">
        <v>0</v>
      </c>
      <c r="R555" s="402">
        <v>0</v>
      </c>
      <c r="S555" s="402">
        <v>0</v>
      </c>
      <c r="T555" s="402">
        <v>0</v>
      </c>
      <c r="U555" s="402">
        <v>0</v>
      </c>
      <c r="V555" s="402">
        <v>-173327.74414620001</v>
      </c>
      <c r="W555" s="402">
        <v>-173327.74414620001</v>
      </c>
      <c r="X555" s="402">
        <v>-173327.74414620001</v>
      </c>
      <c r="Y555" s="402">
        <v>-173327.74414620001</v>
      </c>
      <c r="Z555" s="402">
        <v>-173327.74414620001</v>
      </c>
      <c r="AA555" s="402">
        <v>-866638.72073099995</v>
      </c>
    </row>
    <row r="556" spans="10:27" ht="15" customHeight="1" x14ac:dyDescent="0.25">
      <c r="J556" s="400" t="s">
        <v>336</v>
      </c>
      <c r="K556" s="401" t="s">
        <v>1377</v>
      </c>
      <c r="L556" s="402" t="s">
        <v>1378</v>
      </c>
      <c r="M556" s="402">
        <v>-376281.66666599998</v>
      </c>
      <c r="N556" s="402">
        <v>-346461.03999840003</v>
      </c>
      <c r="O556" s="402">
        <v>0</v>
      </c>
      <c r="P556" s="402">
        <v>0</v>
      </c>
      <c r="Q556" s="402">
        <v>0</v>
      </c>
      <c r="R556" s="402">
        <v>0</v>
      </c>
      <c r="S556" s="402">
        <v>0</v>
      </c>
      <c r="T556" s="402">
        <v>0</v>
      </c>
      <c r="U556" s="402">
        <v>0</v>
      </c>
      <c r="V556" s="402">
        <v>-75256.333333200004</v>
      </c>
      <c r="W556" s="402">
        <v>-75256.333333200004</v>
      </c>
      <c r="X556" s="402">
        <v>-75256.333333200004</v>
      </c>
      <c r="Y556" s="402">
        <v>-75256.333333200004</v>
      </c>
      <c r="Z556" s="402">
        <v>-75256.333333200004</v>
      </c>
      <c r="AA556" s="402">
        <v>-376281.66666599998</v>
      </c>
    </row>
    <row r="557" spans="10:27" ht="15" customHeight="1" x14ac:dyDescent="0.25">
      <c r="J557" s="400" t="s">
        <v>336</v>
      </c>
      <c r="K557" s="401" t="s">
        <v>1379</v>
      </c>
      <c r="L557" s="402" t="s">
        <v>1380</v>
      </c>
      <c r="M557" s="402">
        <v>-849395.34474149998</v>
      </c>
      <c r="N557" s="402">
        <v>-967385.1591399</v>
      </c>
      <c r="O557" s="402">
        <v>0</v>
      </c>
      <c r="P557" s="402">
        <v>0</v>
      </c>
      <c r="Q557" s="402">
        <v>0</v>
      </c>
      <c r="R557" s="402">
        <v>0</v>
      </c>
      <c r="S557" s="402">
        <v>0</v>
      </c>
      <c r="T557" s="402">
        <v>0</v>
      </c>
      <c r="U557" s="402">
        <v>0</v>
      </c>
      <c r="V557" s="402">
        <v>-163266.24130910001</v>
      </c>
      <c r="W557" s="402">
        <v>-168181.570703</v>
      </c>
      <c r="X557" s="402">
        <v>-174021.53279229999</v>
      </c>
      <c r="Y557" s="402">
        <v>-175968.9477281</v>
      </c>
      <c r="Z557" s="402">
        <v>-167957.05220899999</v>
      </c>
      <c r="AA557" s="402">
        <v>-849395.34474149998</v>
      </c>
    </row>
    <row r="558" spans="10:27" ht="15" customHeight="1" x14ac:dyDescent="0.25">
      <c r="J558" s="400" t="s">
        <v>336</v>
      </c>
      <c r="K558" s="401" t="s">
        <v>1381</v>
      </c>
      <c r="L558" s="402" t="s">
        <v>1382</v>
      </c>
      <c r="M558" s="402">
        <v>-405175.46882120002</v>
      </c>
      <c r="N558" s="402">
        <v>-438180.49637750001</v>
      </c>
      <c r="O558" s="402">
        <v>0</v>
      </c>
      <c r="P558" s="402">
        <v>0</v>
      </c>
      <c r="Q558" s="402">
        <v>0</v>
      </c>
      <c r="R558" s="402">
        <v>0</v>
      </c>
      <c r="S558" s="402">
        <v>0</v>
      </c>
      <c r="T558" s="402">
        <v>0</v>
      </c>
      <c r="U558" s="402">
        <v>0</v>
      </c>
      <c r="V558" s="402">
        <v>-82453.681898800001</v>
      </c>
      <c r="W558" s="402">
        <v>-80581.036586799994</v>
      </c>
      <c r="X558" s="402">
        <v>-80767.356874399993</v>
      </c>
      <c r="Y558" s="402">
        <v>-80767.356874399993</v>
      </c>
      <c r="Z558" s="402">
        <v>-80606.036586799994</v>
      </c>
      <c r="AA558" s="402">
        <v>-405175.46882120002</v>
      </c>
    </row>
    <row r="559" spans="10:27" ht="15" customHeight="1" x14ac:dyDescent="0.25">
      <c r="J559" s="400" t="s">
        <v>336</v>
      </c>
      <c r="K559" s="401" t="s">
        <v>1383</v>
      </c>
      <c r="L559" s="402" t="s">
        <v>1384</v>
      </c>
      <c r="M559" s="402">
        <v>-253418.93874330001</v>
      </c>
      <c r="N559" s="402">
        <v>-422092.10912909999</v>
      </c>
      <c r="O559" s="402">
        <v>0</v>
      </c>
      <c r="P559" s="402">
        <v>0</v>
      </c>
      <c r="Q559" s="402">
        <v>0</v>
      </c>
      <c r="R559" s="402">
        <v>0</v>
      </c>
      <c r="S559" s="402">
        <v>0</v>
      </c>
      <c r="T559" s="402">
        <v>0</v>
      </c>
      <c r="U559" s="402">
        <v>0</v>
      </c>
      <c r="V559" s="402">
        <v>-53168.4768043</v>
      </c>
      <c r="W559" s="402">
        <v>-49011.147392699997</v>
      </c>
      <c r="X559" s="402">
        <v>-51089.809846700002</v>
      </c>
      <c r="Y559" s="402">
        <v>-51114.648081500003</v>
      </c>
      <c r="Z559" s="402">
        <v>-49034.856618099999</v>
      </c>
      <c r="AA559" s="402">
        <v>-253418.93874330001</v>
      </c>
    </row>
    <row r="560" spans="10:27" ht="15" customHeight="1" x14ac:dyDescent="0.25">
      <c r="J560" s="400" t="s">
        <v>336</v>
      </c>
      <c r="K560" s="401" t="s">
        <v>1385</v>
      </c>
      <c r="L560" s="402" t="s">
        <v>1386</v>
      </c>
      <c r="M560" s="402">
        <v>-3000000</v>
      </c>
      <c r="N560" s="402">
        <v>0</v>
      </c>
      <c r="O560" s="402">
        <v>0</v>
      </c>
      <c r="P560" s="402">
        <v>0</v>
      </c>
      <c r="Q560" s="402">
        <v>0</v>
      </c>
      <c r="R560" s="402">
        <v>0</v>
      </c>
      <c r="S560" s="402">
        <v>0</v>
      </c>
      <c r="T560" s="402">
        <v>0</v>
      </c>
      <c r="U560" s="402">
        <v>0</v>
      </c>
      <c r="V560" s="402">
        <v>-600000</v>
      </c>
      <c r="W560" s="402">
        <v>-600000</v>
      </c>
      <c r="X560" s="402">
        <v>-600000</v>
      </c>
      <c r="Y560" s="402">
        <v>-600000</v>
      </c>
      <c r="Z560" s="402">
        <v>-600000</v>
      </c>
      <c r="AA560" s="402">
        <v>-3000000</v>
      </c>
    </row>
    <row r="561" spans="10:27" ht="15" customHeight="1" x14ac:dyDescent="0.25">
      <c r="J561" s="400" t="s">
        <v>336</v>
      </c>
      <c r="K561" s="401" t="s">
        <v>1387</v>
      </c>
      <c r="L561" s="402" t="s">
        <v>1388</v>
      </c>
      <c r="M561" s="402">
        <v>3053090.85</v>
      </c>
      <c r="N561" s="402">
        <v>0</v>
      </c>
      <c r="O561" s="402">
        <v>0</v>
      </c>
      <c r="P561" s="402">
        <v>0</v>
      </c>
      <c r="Q561" s="402">
        <v>0</v>
      </c>
      <c r="R561" s="402">
        <v>0</v>
      </c>
      <c r="S561" s="402">
        <v>0</v>
      </c>
      <c r="T561" s="402">
        <v>0</v>
      </c>
      <c r="U561" s="402">
        <v>0</v>
      </c>
      <c r="V561" s="402">
        <v>674018.17</v>
      </c>
      <c r="W561" s="402">
        <v>674018.17</v>
      </c>
      <c r="X561" s="402">
        <v>674018.17</v>
      </c>
      <c r="Y561" s="402">
        <v>674018.17</v>
      </c>
      <c r="Z561" s="402">
        <v>357018.17</v>
      </c>
      <c r="AA561" s="402">
        <v>3053090.85</v>
      </c>
    </row>
    <row r="562" spans="10:27" ht="15" customHeight="1" x14ac:dyDescent="0.25">
      <c r="J562" s="400" t="s">
        <v>336</v>
      </c>
      <c r="K562" s="401" t="s">
        <v>1389</v>
      </c>
      <c r="L562" s="402" t="s">
        <v>1390</v>
      </c>
      <c r="M562" s="402">
        <v>-148194.9666665</v>
      </c>
      <c r="N562" s="402">
        <v>0</v>
      </c>
      <c r="O562" s="402">
        <v>0</v>
      </c>
      <c r="P562" s="402">
        <v>0</v>
      </c>
      <c r="Q562" s="402">
        <v>0</v>
      </c>
      <c r="R562" s="402">
        <v>0</v>
      </c>
      <c r="S562" s="402">
        <v>0</v>
      </c>
      <c r="T562" s="402">
        <v>0</v>
      </c>
      <c r="U562" s="402">
        <v>0</v>
      </c>
      <c r="V562" s="402">
        <v>-29638.993333300001</v>
      </c>
      <c r="W562" s="402">
        <v>-29638.993333300001</v>
      </c>
      <c r="X562" s="402">
        <v>-29638.993333300001</v>
      </c>
      <c r="Y562" s="402">
        <v>-29638.993333300001</v>
      </c>
      <c r="Z562" s="402">
        <v>-29638.993333300001</v>
      </c>
      <c r="AA562" s="402">
        <v>-148194.9666665</v>
      </c>
    </row>
    <row r="563" spans="10:27" ht="15" customHeight="1" x14ac:dyDescent="0.25">
      <c r="J563" s="400" t="s">
        <v>336</v>
      </c>
      <c r="K563" s="401" t="s">
        <v>1391</v>
      </c>
      <c r="L563" s="402" t="s">
        <v>1392</v>
      </c>
      <c r="M563" s="402">
        <v>100000</v>
      </c>
      <c r="N563" s="402">
        <v>0</v>
      </c>
      <c r="O563" s="402">
        <v>0</v>
      </c>
      <c r="P563" s="402">
        <v>0</v>
      </c>
      <c r="Q563" s="402">
        <v>0</v>
      </c>
      <c r="R563" s="402">
        <v>0</v>
      </c>
      <c r="S563" s="402">
        <v>0</v>
      </c>
      <c r="T563" s="402">
        <v>0</v>
      </c>
      <c r="U563" s="402">
        <v>0</v>
      </c>
      <c r="V563" s="402">
        <v>20000</v>
      </c>
      <c r="W563" s="402">
        <v>20000</v>
      </c>
      <c r="X563" s="402">
        <v>20000</v>
      </c>
      <c r="Y563" s="402">
        <v>20000</v>
      </c>
      <c r="Z563" s="402">
        <v>20000</v>
      </c>
      <c r="AA563" s="402">
        <v>100000</v>
      </c>
    </row>
    <row r="564" spans="10:27" ht="15" customHeight="1" x14ac:dyDescent="0.25">
      <c r="J564" s="400" t="s">
        <v>336</v>
      </c>
      <c r="K564" s="401" t="s">
        <v>1393</v>
      </c>
      <c r="L564" s="402" t="s">
        <v>1394</v>
      </c>
      <c r="M564" s="402">
        <v>368197.54783300002</v>
      </c>
      <c r="N564" s="402">
        <v>0</v>
      </c>
      <c r="O564" s="402">
        <v>0</v>
      </c>
      <c r="P564" s="402">
        <v>0</v>
      </c>
      <c r="Q564" s="402">
        <v>0</v>
      </c>
      <c r="R564" s="402">
        <v>0</v>
      </c>
      <c r="S564" s="402">
        <v>0</v>
      </c>
      <c r="T564" s="402">
        <v>0</v>
      </c>
      <c r="U564" s="402">
        <v>0</v>
      </c>
      <c r="V564" s="402">
        <v>73639.509566599998</v>
      </c>
      <c r="W564" s="402">
        <v>73639.509566599998</v>
      </c>
      <c r="X564" s="402">
        <v>73639.509566599998</v>
      </c>
      <c r="Y564" s="402">
        <v>73639.509566599998</v>
      </c>
      <c r="Z564" s="402">
        <v>73639.509566599998</v>
      </c>
      <c r="AA564" s="402">
        <v>368197.54783300002</v>
      </c>
    </row>
    <row r="565" spans="10:27" ht="15" customHeight="1" x14ac:dyDescent="0.25">
      <c r="J565" s="400" t="s">
        <v>336</v>
      </c>
      <c r="K565" s="401" t="s">
        <v>1395</v>
      </c>
      <c r="L565" s="402" t="s">
        <v>1396</v>
      </c>
      <c r="M565" s="402">
        <v>174975</v>
      </c>
      <c r="N565" s="402">
        <v>-550000</v>
      </c>
      <c r="O565" s="402">
        <v>0</v>
      </c>
      <c r="P565" s="402">
        <v>0</v>
      </c>
      <c r="Q565" s="402">
        <v>0</v>
      </c>
      <c r="R565" s="402">
        <v>0</v>
      </c>
      <c r="S565" s="402">
        <v>0</v>
      </c>
      <c r="T565" s="402">
        <v>0</v>
      </c>
      <c r="U565" s="402">
        <v>0</v>
      </c>
      <c r="V565" s="402">
        <v>37195</v>
      </c>
      <c r="W565" s="402">
        <v>37195</v>
      </c>
      <c r="X565" s="402">
        <v>37195</v>
      </c>
      <c r="Y565" s="402">
        <v>37195</v>
      </c>
      <c r="Z565" s="402">
        <v>26195</v>
      </c>
      <c r="AA565" s="402">
        <v>174975</v>
      </c>
    </row>
    <row r="566" spans="10:27" ht="15" customHeight="1" x14ac:dyDescent="0.25">
      <c r="J566" s="400" t="s">
        <v>336</v>
      </c>
      <c r="K566" s="401" t="s">
        <v>1397</v>
      </c>
      <c r="L566" s="402" t="s">
        <v>1398</v>
      </c>
      <c r="M566" s="402">
        <v>9829912.0099999998</v>
      </c>
      <c r="N566" s="402">
        <v>23590028.716684598</v>
      </c>
      <c r="O566" s="402">
        <v>0</v>
      </c>
      <c r="P566" s="402">
        <v>0</v>
      </c>
      <c r="Q566" s="402">
        <v>0</v>
      </c>
      <c r="R566" s="402">
        <v>0</v>
      </c>
      <c r="S566" s="402">
        <v>0</v>
      </c>
      <c r="T566" s="402">
        <v>0</v>
      </c>
      <c r="U566" s="402">
        <v>0</v>
      </c>
      <c r="V566" s="402">
        <v>1958676.48</v>
      </c>
      <c r="W566" s="402">
        <v>1958676.48</v>
      </c>
      <c r="X566" s="402">
        <v>1958676.48</v>
      </c>
      <c r="Y566" s="402">
        <v>1958676.48</v>
      </c>
      <c r="Z566" s="402">
        <v>1995206.09</v>
      </c>
      <c r="AA566" s="402">
        <v>9829912.0099999998</v>
      </c>
    </row>
    <row r="567" spans="10:27" ht="15" customHeight="1" x14ac:dyDescent="0.25">
      <c r="J567" s="400" t="s">
        <v>336</v>
      </c>
      <c r="K567" s="401" t="s">
        <v>1399</v>
      </c>
      <c r="L567" s="402" t="s">
        <v>1400</v>
      </c>
      <c r="M567" s="402">
        <v>1582418.9106735</v>
      </c>
      <c r="N567" s="402">
        <v>0</v>
      </c>
      <c r="O567" s="402">
        <v>0</v>
      </c>
      <c r="P567" s="402">
        <v>0</v>
      </c>
      <c r="Q567" s="402">
        <v>0</v>
      </c>
      <c r="R567" s="402">
        <v>0</v>
      </c>
      <c r="S567" s="402">
        <v>0</v>
      </c>
      <c r="T567" s="402">
        <v>0</v>
      </c>
      <c r="U567" s="402">
        <v>0</v>
      </c>
      <c r="V567" s="402">
        <v>316483.78213469998</v>
      </c>
      <c r="W567" s="402">
        <v>316483.78213469998</v>
      </c>
      <c r="X567" s="402">
        <v>316483.78213469998</v>
      </c>
      <c r="Y567" s="402">
        <v>316483.78213469998</v>
      </c>
      <c r="Z567" s="402">
        <v>316483.78213469998</v>
      </c>
      <c r="AA567" s="402">
        <v>1582418.9106735</v>
      </c>
    </row>
    <row r="568" spans="10:27" ht="15" customHeight="1" x14ac:dyDescent="0.25">
      <c r="J568" s="400" t="s">
        <v>336</v>
      </c>
      <c r="K568" s="401" t="s">
        <v>1401</v>
      </c>
      <c r="L568" s="402" t="s">
        <v>1402</v>
      </c>
      <c r="M568" s="402">
        <v>2640696.0499999998</v>
      </c>
      <c r="N568" s="402">
        <v>0</v>
      </c>
      <c r="O568" s="402">
        <v>0</v>
      </c>
      <c r="P568" s="402">
        <v>0</v>
      </c>
      <c r="Q568" s="402">
        <v>0</v>
      </c>
      <c r="R568" s="402">
        <v>0</v>
      </c>
      <c r="S568" s="402">
        <v>0</v>
      </c>
      <c r="T568" s="402">
        <v>0</v>
      </c>
      <c r="U568" s="402">
        <v>0</v>
      </c>
      <c r="V568" s="402">
        <v>528139.21</v>
      </c>
      <c r="W568" s="402">
        <v>528139.21</v>
      </c>
      <c r="X568" s="402">
        <v>528139.21</v>
      </c>
      <c r="Y568" s="402">
        <v>528139.21</v>
      </c>
      <c r="Z568" s="402">
        <v>528139.21</v>
      </c>
      <c r="AA568" s="402">
        <v>2640696.0499999998</v>
      </c>
    </row>
    <row r="569" spans="10:27" ht="15" customHeight="1" x14ac:dyDescent="0.25">
      <c r="J569" s="400" t="s">
        <v>336</v>
      </c>
      <c r="K569" s="401" t="s">
        <v>1403</v>
      </c>
      <c r="L569" s="402" t="s">
        <v>1404</v>
      </c>
      <c r="M569" s="402">
        <v>2223812</v>
      </c>
      <c r="N569" s="402">
        <v>0</v>
      </c>
      <c r="O569" s="402">
        <v>0</v>
      </c>
      <c r="P569" s="402">
        <v>0</v>
      </c>
      <c r="Q569" s="402">
        <v>0</v>
      </c>
      <c r="R569" s="402">
        <v>0</v>
      </c>
      <c r="S569" s="402">
        <v>0</v>
      </c>
      <c r="T569" s="402">
        <v>0</v>
      </c>
      <c r="U569" s="402">
        <v>0</v>
      </c>
      <c r="V569" s="402">
        <v>444762.4</v>
      </c>
      <c r="W569" s="402">
        <v>444762.4</v>
      </c>
      <c r="X569" s="402">
        <v>444762.4</v>
      </c>
      <c r="Y569" s="402">
        <v>444762.4</v>
      </c>
      <c r="Z569" s="402">
        <v>444762.4</v>
      </c>
      <c r="AA569" s="402">
        <v>2223812</v>
      </c>
    </row>
    <row r="570" spans="10:27" ht="15" customHeight="1" x14ac:dyDescent="0.25">
      <c r="J570" s="400" t="s">
        <v>336</v>
      </c>
      <c r="K570" s="401" t="s">
        <v>1405</v>
      </c>
      <c r="L570" s="402" t="s">
        <v>1406</v>
      </c>
      <c r="M570" s="402">
        <v>2555</v>
      </c>
      <c r="N570" s="402">
        <v>19164</v>
      </c>
      <c r="O570" s="402">
        <v>0</v>
      </c>
      <c r="P570" s="402">
        <v>0</v>
      </c>
      <c r="Q570" s="402">
        <v>0</v>
      </c>
      <c r="R570" s="402">
        <v>0</v>
      </c>
      <c r="S570" s="402">
        <v>0</v>
      </c>
      <c r="T570" s="402">
        <v>0</v>
      </c>
      <c r="U570" s="402">
        <v>0</v>
      </c>
      <c r="V570" s="402">
        <v>511</v>
      </c>
      <c r="W570" s="402">
        <v>511</v>
      </c>
      <c r="X570" s="402">
        <v>511</v>
      </c>
      <c r="Y570" s="402">
        <v>511</v>
      </c>
      <c r="Z570" s="402">
        <v>511</v>
      </c>
      <c r="AA570" s="402">
        <v>2555</v>
      </c>
    </row>
    <row r="571" spans="10:27" ht="15" customHeight="1" x14ac:dyDescent="0.25">
      <c r="J571" s="400" t="s">
        <v>336</v>
      </c>
      <c r="K571" s="401" t="s">
        <v>1407</v>
      </c>
      <c r="L571" s="402" t="s">
        <v>1408</v>
      </c>
      <c r="M571" s="402">
        <v>62565.2</v>
      </c>
      <c r="N571" s="402">
        <v>0</v>
      </c>
      <c r="O571" s="402">
        <v>0</v>
      </c>
      <c r="P571" s="402">
        <v>0</v>
      </c>
      <c r="Q571" s="402">
        <v>0</v>
      </c>
      <c r="R571" s="402">
        <v>0</v>
      </c>
      <c r="S571" s="402">
        <v>0</v>
      </c>
      <c r="T571" s="402">
        <v>0</v>
      </c>
      <c r="U571" s="402">
        <v>0</v>
      </c>
      <c r="V571" s="402">
        <v>12513.04</v>
      </c>
      <c r="W571" s="402">
        <v>12513.04</v>
      </c>
      <c r="X571" s="402">
        <v>12513.04</v>
      </c>
      <c r="Y571" s="402">
        <v>12513.04</v>
      </c>
      <c r="Z571" s="402">
        <v>12513.04</v>
      </c>
      <c r="AA571" s="402">
        <v>62565.2</v>
      </c>
    </row>
    <row r="572" spans="10:27" ht="15" customHeight="1" x14ac:dyDescent="0.25">
      <c r="J572" s="400" t="s">
        <v>336</v>
      </c>
      <c r="K572" s="401" t="s">
        <v>1409</v>
      </c>
      <c r="L572" s="402" t="s">
        <v>1410</v>
      </c>
      <c r="M572" s="402">
        <v>-12332.852832500001</v>
      </c>
      <c r="N572" s="402">
        <v>0</v>
      </c>
      <c r="O572" s="402">
        <v>0</v>
      </c>
      <c r="P572" s="402">
        <v>0</v>
      </c>
      <c r="Q572" s="402">
        <v>0</v>
      </c>
      <c r="R572" s="402">
        <v>0</v>
      </c>
      <c r="S572" s="402">
        <v>0</v>
      </c>
      <c r="T572" s="402">
        <v>0</v>
      </c>
      <c r="U572" s="402">
        <v>0</v>
      </c>
      <c r="V572" s="402">
        <v>-2466.5705665</v>
      </c>
      <c r="W572" s="402">
        <v>-2466.5705665</v>
      </c>
      <c r="X572" s="402">
        <v>-2466.5705665</v>
      </c>
      <c r="Y572" s="402">
        <v>-2466.5705665</v>
      </c>
      <c r="Z572" s="402">
        <v>-2466.5705665</v>
      </c>
      <c r="AA572" s="402">
        <v>-12332.852832500001</v>
      </c>
    </row>
    <row r="573" spans="10:27" ht="15" customHeight="1" x14ac:dyDescent="0.25">
      <c r="J573" s="400" t="s">
        <v>336</v>
      </c>
      <c r="K573" s="401" t="s">
        <v>1411</v>
      </c>
      <c r="L573" s="402" t="s">
        <v>1412</v>
      </c>
      <c r="M573" s="402">
        <v>-2533.9964255</v>
      </c>
      <c r="N573" s="402">
        <v>0</v>
      </c>
      <c r="O573" s="402">
        <v>0</v>
      </c>
      <c r="P573" s="402">
        <v>0</v>
      </c>
      <c r="Q573" s="402">
        <v>0</v>
      </c>
      <c r="R573" s="402">
        <v>0</v>
      </c>
      <c r="S573" s="402">
        <v>0</v>
      </c>
      <c r="T573" s="402">
        <v>0</v>
      </c>
      <c r="U573" s="402">
        <v>0</v>
      </c>
      <c r="V573" s="402">
        <v>-506.79928510000002</v>
      </c>
      <c r="W573" s="402">
        <v>-506.79928510000002</v>
      </c>
      <c r="X573" s="402">
        <v>-506.79928510000002</v>
      </c>
      <c r="Y573" s="402">
        <v>-506.79928510000002</v>
      </c>
      <c r="Z573" s="402">
        <v>-506.79928510000002</v>
      </c>
      <c r="AA573" s="402">
        <v>-2533.9964255</v>
      </c>
    </row>
    <row r="574" spans="10:27" ht="15" customHeight="1" x14ac:dyDescent="0.25">
      <c r="J574" s="400" t="s">
        <v>336</v>
      </c>
      <c r="K574" s="401" t="s">
        <v>1413</v>
      </c>
      <c r="L574" s="402" t="s">
        <v>1414</v>
      </c>
      <c r="M574" s="402">
        <v>-27691.486217900001</v>
      </c>
      <c r="N574" s="402">
        <v>-62237.402225999998</v>
      </c>
      <c r="O574" s="402">
        <v>0</v>
      </c>
      <c r="P574" s="402">
        <v>0</v>
      </c>
      <c r="Q574" s="402">
        <v>0</v>
      </c>
      <c r="R574" s="402">
        <v>0</v>
      </c>
      <c r="S574" s="402">
        <v>0</v>
      </c>
      <c r="T574" s="402">
        <v>0</v>
      </c>
      <c r="U574" s="402">
        <v>0</v>
      </c>
      <c r="V574" s="402">
        <v>-5340.5464511</v>
      </c>
      <c r="W574" s="402">
        <v>-5422.1717091</v>
      </c>
      <c r="X574" s="402">
        <v>-5395.7322752999999</v>
      </c>
      <c r="Y574" s="402">
        <v>-5601.1227392999999</v>
      </c>
      <c r="Z574" s="402">
        <v>-5931.9130431000003</v>
      </c>
      <c r="AA574" s="402">
        <v>-27691.486217900001</v>
      </c>
    </row>
    <row r="575" spans="10:27" ht="15" customHeight="1" x14ac:dyDescent="0.25">
      <c r="J575" s="400" t="s">
        <v>336</v>
      </c>
      <c r="K575" s="401" t="s">
        <v>1415</v>
      </c>
      <c r="L575" s="402" t="s">
        <v>1416</v>
      </c>
      <c r="M575" s="402">
        <v>-324.35000000000002</v>
      </c>
      <c r="N575" s="402">
        <v>-202889.45305829999</v>
      </c>
      <c r="O575" s="402">
        <v>0</v>
      </c>
      <c r="P575" s="402">
        <v>0</v>
      </c>
      <c r="Q575" s="402">
        <v>0</v>
      </c>
      <c r="R575" s="402">
        <v>0</v>
      </c>
      <c r="S575" s="402">
        <v>0</v>
      </c>
      <c r="T575" s="402">
        <v>0</v>
      </c>
      <c r="U575" s="402">
        <v>0</v>
      </c>
      <c r="V575" s="402">
        <v>-64.87</v>
      </c>
      <c r="W575" s="402">
        <v>-64.87</v>
      </c>
      <c r="X575" s="402">
        <v>-64.87</v>
      </c>
      <c r="Y575" s="402">
        <v>-64.87</v>
      </c>
      <c r="Z575" s="402">
        <v>-64.87</v>
      </c>
      <c r="AA575" s="402">
        <v>-324.35000000000002</v>
      </c>
    </row>
    <row r="576" spans="10:27" ht="15" customHeight="1" x14ac:dyDescent="0.25">
      <c r="J576" s="400" t="s">
        <v>336</v>
      </c>
      <c r="K576" s="401" t="s">
        <v>1417</v>
      </c>
      <c r="L576" s="402" t="s">
        <v>1418</v>
      </c>
      <c r="M576" s="402">
        <v>-330195.29365760001</v>
      </c>
      <c r="N576" s="402">
        <v>-739425.73069790006</v>
      </c>
      <c r="O576" s="402">
        <v>0</v>
      </c>
      <c r="P576" s="402">
        <v>0</v>
      </c>
      <c r="Q576" s="402">
        <v>0</v>
      </c>
      <c r="R576" s="402">
        <v>0</v>
      </c>
      <c r="S576" s="402">
        <v>0</v>
      </c>
      <c r="T576" s="402">
        <v>0</v>
      </c>
      <c r="U576" s="402">
        <v>0</v>
      </c>
      <c r="V576" s="402">
        <v>-71515.778940200005</v>
      </c>
      <c r="W576" s="402">
        <v>-65298.333895999996</v>
      </c>
      <c r="X576" s="402">
        <v>-65195.103462699997</v>
      </c>
      <c r="Y576" s="402">
        <v>-64749.363462699999</v>
      </c>
      <c r="Z576" s="402">
        <v>-63436.713896000001</v>
      </c>
      <c r="AA576" s="402">
        <v>-330195.29365760001</v>
      </c>
    </row>
    <row r="577" spans="10:27" ht="15" customHeight="1" x14ac:dyDescent="0.25">
      <c r="J577" s="400" t="s">
        <v>336</v>
      </c>
      <c r="K577" s="401" t="s">
        <v>1419</v>
      </c>
      <c r="L577" s="402" t="s">
        <v>1420</v>
      </c>
      <c r="M577" s="402">
        <v>-301985.30543120002</v>
      </c>
      <c r="N577" s="402">
        <v>-676100.22023069998</v>
      </c>
      <c r="O577" s="402">
        <v>0</v>
      </c>
      <c r="P577" s="402">
        <v>0</v>
      </c>
      <c r="Q577" s="402">
        <v>0</v>
      </c>
      <c r="R577" s="402">
        <v>0</v>
      </c>
      <c r="S577" s="402">
        <v>0</v>
      </c>
      <c r="T577" s="402">
        <v>0</v>
      </c>
      <c r="U577" s="402">
        <v>0</v>
      </c>
      <c r="V577" s="402">
        <v>-55975.383321200003</v>
      </c>
      <c r="W577" s="402">
        <v>-51950.184020000001</v>
      </c>
      <c r="X577" s="402">
        <v>-53921.491535000001</v>
      </c>
      <c r="Y577" s="402">
        <v>-87673.589135000002</v>
      </c>
      <c r="Z577" s="402">
        <v>-52464.657420000003</v>
      </c>
      <c r="AA577" s="402">
        <v>-301985.30543120002</v>
      </c>
    </row>
    <row r="578" spans="10:27" ht="15" customHeight="1" x14ac:dyDescent="0.25">
      <c r="J578" s="400" t="s">
        <v>336</v>
      </c>
      <c r="K578" s="401" t="s">
        <v>1421</v>
      </c>
      <c r="L578" s="402" t="s">
        <v>1422</v>
      </c>
      <c r="M578" s="402">
        <v>121910</v>
      </c>
      <c r="N578" s="402">
        <v>0</v>
      </c>
      <c r="O578" s="402">
        <v>0</v>
      </c>
      <c r="P578" s="402">
        <v>0</v>
      </c>
      <c r="Q578" s="402">
        <v>0</v>
      </c>
      <c r="R578" s="402">
        <v>0</v>
      </c>
      <c r="S578" s="402">
        <v>0</v>
      </c>
      <c r="T578" s="402">
        <v>0</v>
      </c>
      <c r="U578" s="402">
        <v>0</v>
      </c>
      <c r="V578" s="402">
        <v>24382</v>
      </c>
      <c r="W578" s="402">
        <v>24382</v>
      </c>
      <c r="X578" s="402">
        <v>24382</v>
      </c>
      <c r="Y578" s="402">
        <v>24382</v>
      </c>
      <c r="Z578" s="402">
        <v>24382</v>
      </c>
      <c r="AA578" s="402">
        <v>121910</v>
      </c>
    </row>
    <row r="579" spans="10:27" ht="15" customHeight="1" x14ac:dyDescent="0.25">
      <c r="J579" s="400" t="s">
        <v>336</v>
      </c>
      <c r="K579" s="401" t="s">
        <v>1423</v>
      </c>
      <c r="L579" s="402" t="s">
        <v>1424</v>
      </c>
      <c r="M579" s="402">
        <v>-23801.63</v>
      </c>
      <c r="N579" s="402">
        <v>0</v>
      </c>
      <c r="O579" s="402">
        <v>-3716.45</v>
      </c>
      <c r="P579" s="402">
        <v>-3000.1</v>
      </c>
      <c r="Q579" s="402">
        <v>-2698.04</v>
      </c>
      <c r="R579" s="402">
        <v>-3289.38</v>
      </c>
      <c r="S579" s="402">
        <v>-3757.81</v>
      </c>
      <c r="T579" s="402">
        <v>-3682.56</v>
      </c>
      <c r="U579" s="402">
        <v>-3657.29</v>
      </c>
      <c r="V579" s="402">
        <v>0</v>
      </c>
      <c r="W579" s="402">
        <v>0</v>
      </c>
      <c r="X579" s="402">
        <v>0</v>
      </c>
      <c r="Y579" s="402">
        <v>0</v>
      </c>
      <c r="Z579" s="402">
        <v>0</v>
      </c>
      <c r="AA579" s="402">
        <v>-23801.63</v>
      </c>
    </row>
    <row r="580" spans="10:27" ht="15" customHeight="1" x14ac:dyDescent="0.25">
      <c r="J580" s="400" t="s">
        <v>336</v>
      </c>
      <c r="K580" s="401" t="s">
        <v>1425</v>
      </c>
      <c r="L580" s="402" t="s">
        <v>1426</v>
      </c>
      <c r="M580" s="402">
        <v>-112542.96</v>
      </c>
      <c r="N580" s="402">
        <v>0</v>
      </c>
      <c r="O580" s="402">
        <v>-22153.16</v>
      </c>
      <c r="P580" s="402">
        <v>-11509.99</v>
      </c>
      <c r="Q580" s="402">
        <v>-12011.59</v>
      </c>
      <c r="R580" s="402">
        <v>-10959.58</v>
      </c>
      <c r="S580" s="402">
        <v>-30291.759999999998</v>
      </c>
      <c r="T580" s="402">
        <v>-14288.07</v>
      </c>
      <c r="U580" s="402">
        <v>-11328.81</v>
      </c>
      <c r="V580" s="402">
        <v>0</v>
      </c>
      <c r="W580" s="402">
        <v>0</v>
      </c>
      <c r="X580" s="402">
        <v>0</v>
      </c>
      <c r="Y580" s="402">
        <v>0</v>
      </c>
      <c r="Z580" s="402">
        <v>0</v>
      </c>
      <c r="AA580" s="402">
        <v>-112542.96</v>
      </c>
    </row>
    <row r="581" spans="10:27" ht="15" customHeight="1" x14ac:dyDescent="0.25">
      <c r="J581" s="400" t="s">
        <v>336</v>
      </c>
      <c r="K581" s="401" t="s">
        <v>1427</v>
      </c>
      <c r="L581" s="402" t="s">
        <v>1428</v>
      </c>
      <c r="M581" s="402">
        <v>-477298.16</v>
      </c>
      <c r="N581" s="402">
        <v>0</v>
      </c>
      <c r="O581" s="402">
        <v>-69782.5</v>
      </c>
      <c r="P581" s="402">
        <v>-65649.240000000005</v>
      </c>
      <c r="Q581" s="402">
        <v>-75564.009999999995</v>
      </c>
      <c r="R581" s="402">
        <v>-63574.29</v>
      </c>
      <c r="S581" s="402">
        <v>-71534.399999999994</v>
      </c>
      <c r="T581" s="402">
        <v>-68468.03</v>
      </c>
      <c r="U581" s="402">
        <v>-62725.69</v>
      </c>
      <c r="V581" s="402">
        <v>0</v>
      </c>
      <c r="W581" s="402">
        <v>0</v>
      </c>
      <c r="X581" s="402">
        <v>0</v>
      </c>
      <c r="Y581" s="402">
        <v>0</v>
      </c>
      <c r="Z581" s="402">
        <v>0</v>
      </c>
      <c r="AA581" s="402">
        <v>-477298.16</v>
      </c>
    </row>
    <row r="582" spans="10:27" ht="15" customHeight="1" x14ac:dyDescent="0.25">
      <c r="J582" s="400" t="s">
        <v>336</v>
      </c>
      <c r="K582" s="401" t="s">
        <v>1429</v>
      </c>
      <c r="L582" s="402" t="s">
        <v>1430</v>
      </c>
      <c r="M582" s="402">
        <v>-403108.77</v>
      </c>
      <c r="N582" s="402">
        <v>0</v>
      </c>
      <c r="O582" s="402">
        <v>-57442.69</v>
      </c>
      <c r="P582" s="402">
        <v>-49791.17</v>
      </c>
      <c r="Q582" s="402">
        <v>-55782.27</v>
      </c>
      <c r="R582" s="402">
        <v>-49637.36</v>
      </c>
      <c r="S582" s="402">
        <v>-84391.13</v>
      </c>
      <c r="T582" s="402">
        <v>-54453.57</v>
      </c>
      <c r="U582" s="402">
        <v>-51610.58</v>
      </c>
      <c r="V582" s="402">
        <v>0</v>
      </c>
      <c r="W582" s="402">
        <v>0</v>
      </c>
      <c r="X582" s="402">
        <v>0</v>
      </c>
      <c r="Y582" s="402">
        <v>0</v>
      </c>
      <c r="Z582" s="402">
        <v>0</v>
      </c>
      <c r="AA582" s="402">
        <v>-403108.77</v>
      </c>
    </row>
    <row r="583" spans="10:27" ht="15" customHeight="1" x14ac:dyDescent="0.25">
      <c r="J583" s="400" t="s">
        <v>336</v>
      </c>
      <c r="K583" s="401" t="s">
        <v>1431</v>
      </c>
      <c r="L583" s="402" t="s">
        <v>1432</v>
      </c>
      <c r="M583" s="402">
        <v>3241303</v>
      </c>
      <c r="N583" s="402">
        <v>3500000.3574625002</v>
      </c>
      <c r="O583" s="402">
        <v>0</v>
      </c>
      <c r="P583" s="402">
        <v>0</v>
      </c>
      <c r="Q583" s="402">
        <v>0</v>
      </c>
      <c r="R583" s="402">
        <v>0</v>
      </c>
      <c r="S583" s="402">
        <v>0</v>
      </c>
      <c r="T583" s="402">
        <v>0</v>
      </c>
      <c r="U583" s="402">
        <v>0</v>
      </c>
      <c r="V583" s="402">
        <v>622364</v>
      </c>
      <c r="W583" s="402">
        <v>701783</v>
      </c>
      <c r="X583" s="402">
        <v>625600</v>
      </c>
      <c r="Y583" s="402">
        <v>590223</v>
      </c>
      <c r="Z583" s="402">
        <v>701333</v>
      </c>
      <c r="AA583" s="402">
        <v>3241303</v>
      </c>
    </row>
    <row r="584" spans="10:27" ht="15" customHeight="1" x14ac:dyDescent="0.25">
      <c r="J584" s="400" t="s">
        <v>336</v>
      </c>
      <c r="K584" s="401" t="s">
        <v>1433</v>
      </c>
      <c r="L584" s="402" t="s">
        <v>1434</v>
      </c>
      <c r="M584" s="402">
        <v>535</v>
      </c>
      <c r="N584" s="402">
        <v>0</v>
      </c>
      <c r="O584" s="402">
        <v>0</v>
      </c>
      <c r="P584" s="402">
        <v>0</v>
      </c>
      <c r="Q584" s="402">
        <v>0</v>
      </c>
      <c r="R584" s="402">
        <v>0</v>
      </c>
      <c r="S584" s="402">
        <v>0</v>
      </c>
      <c r="T584" s="402">
        <v>0</v>
      </c>
      <c r="U584" s="402">
        <v>0</v>
      </c>
      <c r="V584" s="402">
        <v>107</v>
      </c>
      <c r="W584" s="402">
        <v>107</v>
      </c>
      <c r="X584" s="402">
        <v>107</v>
      </c>
      <c r="Y584" s="402">
        <v>107</v>
      </c>
      <c r="Z584" s="402">
        <v>107</v>
      </c>
      <c r="AA584" s="402">
        <v>535</v>
      </c>
    </row>
    <row r="585" spans="10:27" ht="15" customHeight="1" x14ac:dyDescent="0.25">
      <c r="J585" s="400" t="s">
        <v>336</v>
      </c>
      <c r="K585" s="401" t="s">
        <v>1435</v>
      </c>
      <c r="L585" s="402" t="s">
        <v>1436</v>
      </c>
      <c r="M585" s="402">
        <v>385000</v>
      </c>
      <c r="N585" s="402">
        <v>770000</v>
      </c>
      <c r="O585" s="402">
        <v>0</v>
      </c>
      <c r="P585" s="402">
        <v>0</v>
      </c>
      <c r="Q585" s="402">
        <v>0</v>
      </c>
      <c r="R585" s="402">
        <v>0</v>
      </c>
      <c r="S585" s="402">
        <v>0</v>
      </c>
      <c r="T585" s="402">
        <v>0</v>
      </c>
      <c r="U585" s="402">
        <v>0</v>
      </c>
      <c r="V585" s="402">
        <v>0</v>
      </c>
      <c r="W585" s="402">
        <v>192500</v>
      </c>
      <c r="X585" s="402">
        <v>0</v>
      </c>
      <c r="Y585" s="402">
        <v>0</v>
      </c>
      <c r="Z585" s="402">
        <v>192500</v>
      </c>
      <c r="AA585" s="402">
        <v>385000</v>
      </c>
    </row>
    <row r="586" spans="10:27" ht="15" customHeight="1" x14ac:dyDescent="0.25">
      <c r="J586" s="400" t="s">
        <v>336</v>
      </c>
      <c r="K586" s="401" t="s">
        <v>1437</v>
      </c>
      <c r="L586" s="402" t="s">
        <v>1438</v>
      </c>
      <c r="M586" s="402">
        <v>250</v>
      </c>
      <c r="N586" s="402">
        <v>0</v>
      </c>
      <c r="O586" s="402">
        <v>0</v>
      </c>
      <c r="P586" s="402">
        <v>0</v>
      </c>
      <c r="Q586" s="402">
        <v>0</v>
      </c>
      <c r="R586" s="402">
        <v>0</v>
      </c>
      <c r="S586" s="402">
        <v>0</v>
      </c>
      <c r="T586" s="402">
        <v>0</v>
      </c>
      <c r="U586" s="402">
        <v>0</v>
      </c>
      <c r="V586" s="402">
        <v>50</v>
      </c>
      <c r="W586" s="402">
        <v>50</v>
      </c>
      <c r="X586" s="402">
        <v>50</v>
      </c>
      <c r="Y586" s="402">
        <v>50</v>
      </c>
      <c r="Z586" s="402">
        <v>50</v>
      </c>
      <c r="AA586" s="402">
        <v>250</v>
      </c>
    </row>
    <row r="587" spans="10:27" ht="15" customHeight="1" x14ac:dyDescent="0.25">
      <c r="J587" s="400" t="s">
        <v>336</v>
      </c>
      <c r="K587" s="401" t="s">
        <v>1439</v>
      </c>
      <c r="L587" s="402" t="s">
        <v>1440</v>
      </c>
      <c r="M587" s="402">
        <v>219626.49253739999</v>
      </c>
      <c r="N587" s="402">
        <v>284892</v>
      </c>
      <c r="O587" s="402">
        <v>0</v>
      </c>
      <c r="P587" s="402">
        <v>0</v>
      </c>
      <c r="Q587" s="402">
        <v>0</v>
      </c>
      <c r="R587" s="402">
        <v>0</v>
      </c>
      <c r="S587" s="402">
        <v>0</v>
      </c>
      <c r="T587" s="402">
        <v>0</v>
      </c>
      <c r="U587" s="402">
        <v>0</v>
      </c>
      <c r="V587" s="402">
        <v>0</v>
      </c>
      <c r="W587" s="402">
        <v>109813.24626869999</v>
      </c>
      <c r="X587" s="402">
        <v>0</v>
      </c>
      <c r="Y587" s="402">
        <v>0</v>
      </c>
      <c r="Z587" s="402">
        <v>109813.24626869999</v>
      </c>
      <c r="AA587" s="402">
        <v>219626.49253739999</v>
      </c>
    </row>
    <row r="588" spans="10:27" ht="15" customHeight="1" x14ac:dyDescent="0.25">
      <c r="J588" s="400" t="s">
        <v>336</v>
      </c>
      <c r="K588" s="401" t="s">
        <v>1441</v>
      </c>
      <c r="L588" s="402" t="s">
        <v>1442</v>
      </c>
      <c r="M588" s="402">
        <v>205500</v>
      </c>
      <c r="N588" s="402">
        <v>0</v>
      </c>
      <c r="O588" s="402">
        <v>0</v>
      </c>
      <c r="P588" s="402">
        <v>0</v>
      </c>
      <c r="Q588" s="402">
        <v>0</v>
      </c>
      <c r="R588" s="402">
        <v>0</v>
      </c>
      <c r="S588" s="402">
        <v>0</v>
      </c>
      <c r="T588" s="402">
        <v>0</v>
      </c>
      <c r="U588" s="402">
        <v>0</v>
      </c>
      <c r="V588" s="402">
        <v>26125</v>
      </c>
      <c r="W588" s="402">
        <v>28625</v>
      </c>
      <c r="X588" s="402">
        <v>26125</v>
      </c>
      <c r="Y588" s="402">
        <v>72687.5</v>
      </c>
      <c r="Z588" s="402">
        <v>51937.5</v>
      </c>
      <c r="AA588" s="402">
        <v>205500</v>
      </c>
    </row>
    <row r="589" spans="10:27" ht="15" customHeight="1" x14ac:dyDescent="0.25">
      <c r="J589" s="400" t="s">
        <v>336</v>
      </c>
      <c r="K589" s="401" t="s">
        <v>1443</v>
      </c>
      <c r="L589" s="402" t="s">
        <v>1444</v>
      </c>
      <c r="M589" s="402">
        <v>976886.48</v>
      </c>
      <c r="N589" s="402">
        <v>2892337.6</v>
      </c>
      <c r="O589" s="402">
        <v>0</v>
      </c>
      <c r="P589" s="402">
        <v>0</v>
      </c>
      <c r="Q589" s="402">
        <v>0</v>
      </c>
      <c r="R589" s="402">
        <v>0</v>
      </c>
      <c r="S589" s="402">
        <v>0</v>
      </c>
      <c r="T589" s="402">
        <v>0</v>
      </c>
      <c r="U589" s="402">
        <v>0</v>
      </c>
      <c r="V589" s="402">
        <v>24400</v>
      </c>
      <c r="W589" s="402">
        <v>719869.73</v>
      </c>
      <c r="X589" s="402">
        <v>15000</v>
      </c>
      <c r="Y589" s="402">
        <v>10000</v>
      </c>
      <c r="Z589" s="402">
        <v>207616.75</v>
      </c>
      <c r="AA589" s="402">
        <v>976886.48</v>
      </c>
    </row>
    <row r="590" spans="10:27" ht="15" customHeight="1" x14ac:dyDescent="0.25">
      <c r="J590" s="400" t="s">
        <v>336</v>
      </c>
      <c r="K590" s="401" t="s">
        <v>1445</v>
      </c>
      <c r="L590" s="402" t="s">
        <v>1446</v>
      </c>
      <c r="M590" s="402">
        <v>950000</v>
      </c>
      <c r="N590" s="402">
        <v>1976500</v>
      </c>
      <c r="O590" s="402">
        <v>0</v>
      </c>
      <c r="P590" s="402">
        <v>0</v>
      </c>
      <c r="Q590" s="402">
        <v>0</v>
      </c>
      <c r="R590" s="402">
        <v>0</v>
      </c>
      <c r="S590" s="402">
        <v>0</v>
      </c>
      <c r="T590" s="402">
        <v>0</v>
      </c>
      <c r="U590" s="402">
        <v>0</v>
      </c>
      <c r="V590" s="402">
        <v>170000</v>
      </c>
      <c r="W590" s="402">
        <v>170000</v>
      </c>
      <c r="X590" s="402">
        <v>170000</v>
      </c>
      <c r="Y590" s="402">
        <v>170000</v>
      </c>
      <c r="Z590" s="402">
        <v>270000</v>
      </c>
      <c r="AA590" s="402">
        <v>950000</v>
      </c>
    </row>
    <row r="591" spans="10:27" ht="15" customHeight="1" x14ac:dyDescent="0.25">
      <c r="J591" s="400" t="s">
        <v>336</v>
      </c>
      <c r="K591" s="401" t="s">
        <v>1447</v>
      </c>
      <c r="L591" s="402" t="s">
        <v>1448</v>
      </c>
      <c r="M591" s="402">
        <v>152500</v>
      </c>
      <c r="N591" s="402">
        <v>500</v>
      </c>
      <c r="O591" s="402">
        <v>0</v>
      </c>
      <c r="P591" s="402">
        <v>0</v>
      </c>
      <c r="Q591" s="402">
        <v>0</v>
      </c>
      <c r="R591" s="402">
        <v>0</v>
      </c>
      <c r="S591" s="402">
        <v>0</v>
      </c>
      <c r="T591" s="402">
        <v>0</v>
      </c>
      <c r="U591" s="402">
        <v>0</v>
      </c>
      <c r="V591" s="402">
        <v>30500</v>
      </c>
      <c r="W591" s="402">
        <v>30500</v>
      </c>
      <c r="X591" s="402">
        <v>30500</v>
      </c>
      <c r="Y591" s="402">
        <v>30500</v>
      </c>
      <c r="Z591" s="402">
        <v>30500</v>
      </c>
      <c r="AA591" s="402">
        <v>152500</v>
      </c>
    </row>
    <row r="592" spans="10:27" ht="15" customHeight="1" x14ac:dyDescent="0.25">
      <c r="J592" s="400" t="s">
        <v>336</v>
      </c>
      <c r="K592" s="401" t="s">
        <v>1449</v>
      </c>
      <c r="L592" s="402" t="s">
        <v>1450</v>
      </c>
      <c r="M592" s="402">
        <v>1384165.03</v>
      </c>
      <c r="N592" s="402">
        <v>0</v>
      </c>
      <c r="O592" s="402">
        <v>0</v>
      </c>
      <c r="P592" s="402">
        <v>0</v>
      </c>
      <c r="Q592" s="402">
        <v>0</v>
      </c>
      <c r="R592" s="402">
        <v>0</v>
      </c>
      <c r="S592" s="402">
        <v>0</v>
      </c>
      <c r="T592" s="402">
        <v>0</v>
      </c>
      <c r="U592" s="402">
        <v>0</v>
      </c>
      <c r="V592" s="402">
        <v>1092833</v>
      </c>
      <c r="W592" s="402">
        <v>72833</v>
      </c>
      <c r="X592" s="402">
        <v>72833.009999999995</v>
      </c>
      <c r="Y592" s="402">
        <v>72833.009999999995</v>
      </c>
      <c r="Z592" s="402">
        <v>72833.009999999995</v>
      </c>
      <c r="AA592" s="402">
        <v>1384165.03</v>
      </c>
    </row>
    <row r="593" spans="10:27" ht="15" customHeight="1" x14ac:dyDescent="0.25">
      <c r="J593" s="400" t="s">
        <v>336</v>
      </c>
      <c r="K593" s="401" t="s">
        <v>1451</v>
      </c>
      <c r="L593" s="402" t="s">
        <v>1452</v>
      </c>
      <c r="M593" s="402">
        <v>409626.96</v>
      </c>
      <c r="N593" s="402">
        <v>1273011.8400000001</v>
      </c>
      <c r="O593" s="402">
        <v>0</v>
      </c>
      <c r="P593" s="402">
        <v>0</v>
      </c>
      <c r="Q593" s="402">
        <v>0</v>
      </c>
      <c r="R593" s="402">
        <v>0</v>
      </c>
      <c r="S593" s="402">
        <v>0</v>
      </c>
      <c r="T593" s="402">
        <v>0</v>
      </c>
      <c r="U593" s="402">
        <v>0</v>
      </c>
      <c r="V593" s="402">
        <v>43287</v>
      </c>
      <c r="W593" s="402">
        <v>43287</v>
      </c>
      <c r="X593" s="402">
        <v>236478.96</v>
      </c>
      <c r="Y593" s="402">
        <v>43287</v>
      </c>
      <c r="Z593" s="402">
        <v>43287</v>
      </c>
      <c r="AA593" s="402">
        <v>409626.96</v>
      </c>
    </row>
    <row r="594" spans="10:27" ht="15" customHeight="1" x14ac:dyDescent="0.25">
      <c r="J594" s="400" t="s">
        <v>336</v>
      </c>
      <c r="K594" s="401" t="s">
        <v>1453</v>
      </c>
      <c r="L594" s="402" t="s">
        <v>1454</v>
      </c>
      <c r="M594" s="402">
        <v>1000</v>
      </c>
      <c r="N594" s="402">
        <v>99000</v>
      </c>
      <c r="O594" s="402">
        <v>0</v>
      </c>
      <c r="P594" s="402">
        <v>0</v>
      </c>
      <c r="Q594" s="402">
        <v>0</v>
      </c>
      <c r="R594" s="402">
        <v>0</v>
      </c>
      <c r="S594" s="402">
        <v>0</v>
      </c>
      <c r="T594" s="402">
        <v>0</v>
      </c>
      <c r="U594" s="402">
        <v>0</v>
      </c>
      <c r="V594" s="402">
        <v>0</v>
      </c>
      <c r="W594" s="402">
        <v>0</v>
      </c>
      <c r="X594" s="402">
        <v>1000</v>
      </c>
      <c r="Y594" s="402">
        <v>0</v>
      </c>
      <c r="Z594" s="402">
        <v>0</v>
      </c>
      <c r="AA594" s="402">
        <v>1000</v>
      </c>
    </row>
    <row r="595" spans="10:27" ht="15" customHeight="1" x14ac:dyDescent="0.25">
      <c r="J595" s="400" t="s">
        <v>336</v>
      </c>
      <c r="K595" s="401" t="s">
        <v>1455</v>
      </c>
      <c r="L595" s="402" t="s">
        <v>1456</v>
      </c>
      <c r="M595" s="402">
        <v>25375.778746100001</v>
      </c>
      <c r="N595" s="402">
        <v>6450</v>
      </c>
      <c r="O595" s="402">
        <v>0</v>
      </c>
      <c r="P595" s="402">
        <v>0</v>
      </c>
      <c r="Q595" s="402">
        <v>0</v>
      </c>
      <c r="R595" s="402">
        <v>0</v>
      </c>
      <c r="S595" s="402">
        <v>0</v>
      </c>
      <c r="T595" s="402">
        <v>0</v>
      </c>
      <c r="U595" s="402">
        <v>0</v>
      </c>
      <c r="V595" s="402">
        <v>4940.3327472000001</v>
      </c>
      <c r="W595" s="402">
        <v>5673.5305341000003</v>
      </c>
      <c r="X595" s="402">
        <v>4662.7190786000001</v>
      </c>
      <c r="Y595" s="402">
        <v>4699.2158809000002</v>
      </c>
      <c r="Z595" s="402">
        <v>5399.9805053</v>
      </c>
      <c r="AA595" s="402">
        <v>25375.778746100001</v>
      </c>
    </row>
    <row r="596" spans="10:27" ht="15" customHeight="1" x14ac:dyDescent="0.25">
      <c r="J596" s="400" t="s">
        <v>336</v>
      </c>
      <c r="K596" s="401" t="s">
        <v>1457</v>
      </c>
      <c r="L596" s="402" t="s">
        <v>1458</v>
      </c>
      <c r="M596" s="402">
        <v>201586.98378050001</v>
      </c>
      <c r="N596" s="402">
        <v>22294</v>
      </c>
      <c r="O596" s="402">
        <v>0</v>
      </c>
      <c r="P596" s="402">
        <v>0</v>
      </c>
      <c r="Q596" s="402">
        <v>0</v>
      </c>
      <c r="R596" s="402">
        <v>0</v>
      </c>
      <c r="S596" s="402">
        <v>0</v>
      </c>
      <c r="T596" s="402">
        <v>0</v>
      </c>
      <c r="U596" s="402">
        <v>0</v>
      </c>
      <c r="V596" s="402">
        <v>28236.7967561</v>
      </c>
      <c r="W596" s="402">
        <v>46366.796756099997</v>
      </c>
      <c r="X596" s="402">
        <v>42001.796756099997</v>
      </c>
      <c r="Y596" s="402">
        <v>41908.796756099997</v>
      </c>
      <c r="Z596" s="402">
        <v>43072.796756099997</v>
      </c>
      <c r="AA596" s="402">
        <v>201586.98378050001</v>
      </c>
    </row>
    <row r="597" spans="10:27" ht="15" customHeight="1" x14ac:dyDescent="0.25">
      <c r="J597" s="400" t="s">
        <v>336</v>
      </c>
      <c r="K597" s="401" t="s">
        <v>1459</v>
      </c>
      <c r="L597" s="402" t="s">
        <v>1460</v>
      </c>
      <c r="M597" s="402">
        <v>75000</v>
      </c>
      <c r="N597" s="402">
        <v>75000</v>
      </c>
      <c r="O597" s="402">
        <v>0</v>
      </c>
      <c r="P597" s="402">
        <v>0</v>
      </c>
      <c r="Q597" s="402">
        <v>0</v>
      </c>
      <c r="R597" s="402">
        <v>0</v>
      </c>
      <c r="S597" s="402">
        <v>0</v>
      </c>
      <c r="T597" s="402">
        <v>0</v>
      </c>
      <c r="U597" s="402">
        <v>0</v>
      </c>
      <c r="V597" s="402">
        <v>0</v>
      </c>
      <c r="W597" s="402">
        <v>0</v>
      </c>
      <c r="X597" s="402">
        <v>75000</v>
      </c>
      <c r="Y597" s="402">
        <v>0</v>
      </c>
      <c r="Z597" s="402">
        <v>0</v>
      </c>
      <c r="AA597" s="402">
        <v>75000</v>
      </c>
    </row>
    <row r="598" spans="10:27" ht="15" customHeight="1" x14ac:dyDescent="0.25">
      <c r="J598" s="400" t="s">
        <v>336</v>
      </c>
      <c r="K598" s="401" t="s">
        <v>1461</v>
      </c>
      <c r="L598" s="402" t="s">
        <v>1462</v>
      </c>
      <c r="M598" s="402">
        <v>39938.199999999997</v>
      </c>
      <c r="N598" s="402">
        <v>26652</v>
      </c>
      <c r="O598" s="402">
        <v>0</v>
      </c>
      <c r="P598" s="402">
        <v>0</v>
      </c>
      <c r="Q598" s="402">
        <v>0</v>
      </c>
      <c r="R598" s="402">
        <v>0</v>
      </c>
      <c r="S598" s="402">
        <v>0</v>
      </c>
      <c r="T598" s="402">
        <v>0</v>
      </c>
      <c r="U598" s="402">
        <v>0</v>
      </c>
      <c r="V598" s="402">
        <v>7987.64</v>
      </c>
      <c r="W598" s="402">
        <v>7987.64</v>
      </c>
      <c r="X598" s="402">
        <v>7987.64</v>
      </c>
      <c r="Y598" s="402">
        <v>7987.64</v>
      </c>
      <c r="Z598" s="402">
        <v>7987.64</v>
      </c>
      <c r="AA598" s="402">
        <v>39938.199999999997</v>
      </c>
    </row>
    <row r="599" spans="10:27" ht="15" customHeight="1" x14ac:dyDescent="0.25">
      <c r="J599" s="400" t="s">
        <v>336</v>
      </c>
      <c r="K599" s="401" t="s">
        <v>1463</v>
      </c>
      <c r="L599" s="402" t="s">
        <v>1464</v>
      </c>
      <c r="M599" s="402">
        <v>0</v>
      </c>
      <c r="N599" s="402">
        <v>110000</v>
      </c>
      <c r="O599" s="402">
        <v>0</v>
      </c>
      <c r="P599" s="402">
        <v>0</v>
      </c>
      <c r="Q599" s="402">
        <v>0</v>
      </c>
      <c r="R599" s="402">
        <v>0</v>
      </c>
      <c r="S599" s="402">
        <v>0</v>
      </c>
      <c r="T599" s="402">
        <v>0</v>
      </c>
      <c r="U599" s="402">
        <v>0</v>
      </c>
      <c r="V599" s="402">
        <v>0</v>
      </c>
      <c r="W599" s="402">
        <v>0</v>
      </c>
      <c r="X599" s="402">
        <v>0</v>
      </c>
      <c r="Y599" s="402">
        <v>0</v>
      </c>
      <c r="Z599" s="402">
        <v>0</v>
      </c>
      <c r="AA599" s="402">
        <v>0</v>
      </c>
    </row>
    <row r="600" spans="10:27" ht="15" customHeight="1" x14ac:dyDescent="0.25">
      <c r="J600" s="400" t="s">
        <v>336</v>
      </c>
      <c r="K600" s="401" t="s">
        <v>1465</v>
      </c>
      <c r="L600" s="402" t="s">
        <v>1466</v>
      </c>
      <c r="M600" s="402">
        <v>928363.02961650002</v>
      </c>
      <c r="N600" s="402">
        <v>2356560.0099991998</v>
      </c>
      <c r="O600" s="402">
        <v>0</v>
      </c>
      <c r="P600" s="402">
        <v>0</v>
      </c>
      <c r="Q600" s="402">
        <v>0</v>
      </c>
      <c r="R600" s="402">
        <v>0</v>
      </c>
      <c r="S600" s="402">
        <v>0</v>
      </c>
      <c r="T600" s="402">
        <v>0</v>
      </c>
      <c r="U600" s="402">
        <v>0</v>
      </c>
      <c r="V600" s="402">
        <v>185565.15392330001</v>
      </c>
      <c r="W600" s="402">
        <v>185766.78392330001</v>
      </c>
      <c r="X600" s="402">
        <v>185189.15392330001</v>
      </c>
      <c r="Y600" s="402">
        <v>185214.15392330001</v>
      </c>
      <c r="Z600" s="402">
        <v>186627.78392330001</v>
      </c>
      <c r="AA600" s="402">
        <v>928363.02961650002</v>
      </c>
    </row>
    <row r="601" spans="10:27" ht="15" customHeight="1" x14ac:dyDescent="0.25">
      <c r="J601" s="400" t="s">
        <v>336</v>
      </c>
      <c r="K601" s="401" t="s">
        <v>1467</v>
      </c>
      <c r="L601" s="402" t="s">
        <v>1468</v>
      </c>
      <c r="M601" s="402">
        <v>14797414.6665</v>
      </c>
      <c r="N601" s="402">
        <v>0</v>
      </c>
      <c r="O601" s="402">
        <v>0</v>
      </c>
      <c r="P601" s="402">
        <v>0</v>
      </c>
      <c r="Q601" s="402">
        <v>0</v>
      </c>
      <c r="R601" s="402">
        <v>0</v>
      </c>
      <c r="S601" s="402">
        <v>0</v>
      </c>
      <c r="T601" s="402">
        <v>0</v>
      </c>
      <c r="U601" s="402">
        <v>0</v>
      </c>
      <c r="V601" s="402">
        <v>3094605.3333000001</v>
      </c>
      <c r="W601" s="402">
        <v>3091930.3333000001</v>
      </c>
      <c r="X601" s="402">
        <v>2940435.3333000001</v>
      </c>
      <c r="Y601" s="402">
        <v>2827794.3333000001</v>
      </c>
      <c r="Z601" s="402">
        <v>2842649.3333000001</v>
      </c>
      <c r="AA601" s="402">
        <v>14797414.6665</v>
      </c>
    </row>
    <row r="602" spans="10:27" ht="15" customHeight="1" x14ac:dyDescent="0.25">
      <c r="J602" s="400" t="s">
        <v>336</v>
      </c>
      <c r="K602" s="401" t="s">
        <v>1469</v>
      </c>
      <c r="L602" s="402" t="s">
        <v>1470</v>
      </c>
      <c r="M602" s="402">
        <v>75828.888409599997</v>
      </c>
      <c r="N602" s="402">
        <v>0</v>
      </c>
      <c r="O602" s="402">
        <v>0</v>
      </c>
      <c r="P602" s="402">
        <v>0</v>
      </c>
      <c r="Q602" s="402">
        <v>0</v>
      </c>
      <c r="R602" s="402">
        <v>0</v>
      </c>
      <c r="S602" s="402">
        <v>0</v>
      </c>
      <c r="T602" s="402">
        <v>0</v>
      </c>
      <c r="U602" s="402">
        <v>0</v>
      </c>
      <c r="V602" s="402">
        <v>16362.1569906</v>
      </c>
      <c r="W602" s="402">
        <v>13345.2924293</v>
      </c>
      <c r="X602" s="402">
        <v>18357.339865499998</v>
      </c>
      <c r="Y602" s="402">
        <v>14350.409270599999</v>
      </c>
      <c r="Z602" s="402">
        <v>13413.689853600001</v>
      </c>
      <c r="AA602" s="402">
        <v>75828.888409599997</v>
      </c>
    </row>
    <row r="603" spans="10:27" ht="15" customHeight="1" x14ac:dyDescent="0.25">
      <c r="J603" s="400" t="s">
        <v>336</v>
      </c>
      <c r="K603" s="401" t="s">
        <v>1471</v>
      </c>
      <c r="L603" s="402" t="s">
        <v>1472</v>
      </c>
      <c r="M603" s="402">
        <v>39113.4</v>
      </c>
      <c r="N603" s="402">
        <v>0</v>
      </c>
      <c r="O603" s="402">
        <v>0</v>
      </c>
      <c r="P603" s="402">
        <v>0</v>
      </c>
      <c r="Q603" s="402">
        <v>0</v>
      </c>
      <c r="R603" s="402">
        <v>0</v>
      </c>
      <c r="S603" s="402">
        <v>0</v>
      </c>
      <c r="T603" s="402">
        <v>0</v>
      </c>
      <c r="U603" s="402">
        <v>0</v>
      </c>
      <c r="V603" s="402">
        <v>7822.68</v>
      </c>
      <c r="W603" s="402">
        <v>7822.68</v>
      </c>
      <c r="X603" s="402">
        <v>7822.68</v>
      </c>
      <c r="Y603" s="402">
        <v>7822.68</v>
      </c>
      <c r="Z603" s="402">
        <v>7822.68</v>
      </c>
      <c r="AA603" s="402">
        <v>39113.4</v>
      </c>
    </row>
    <row r="604" spans="10:27" ht="15" customHeight="1" x14ac:dyDescent="0.25">
      <c r="J604" s="400" t="s">
        <v>336</v>
      </c>
      <c r="K604" s="401" t="s">
        <v>1473</v>
      </c>
      <c r="L604" s="402" t="s">
        <v>1474</v>
      </c>
      <c r="M604" s="402">
        <v>-14583333.3333335</v>
      </c>
      <c r="N604" s="402">
        <v>-35000000.000000402</v>
      </c>
      <c r="O604" s="402">
        <v>0</v>
      </c>
      <c r="P604" s="402">
        <v>0</v>
      </c>
      <c r="Q604" s="402">
        <v>0</v>
      </c>
      <c r="R604" s="402">
        <v>0</v>
      </c>
      <c r="S604" s="402">
        <v>0</v>
      </c>
      <c r="T604" s="402">
        <v>0</v>
      </c>
      <c r="U604" s="402">
        <v>0</v>
      </c>
      <c r="V604" s="402">
        <v>-2916666.6666667</v>
      </c>
      <c r="W604" s="402">
        <v>-2916666.6666667</v>
      </c>
      <c r="X604" s="402">
        <v>-2916666.6666667</v>
      </c>
      <c r="Y604" s="402">
        <v>-2916666.6666667</v>
      </c>
      <c r="Z604" s="402">
        <v>-2916666.6666667</v>
      </c>
      <c r="AA604" s="402">
        <v>-14583333.3333335</v>
      </c>
    </row>
    <row r="605" spans="10:27" ht="15" customHeight="1" x14ac:dyDescent="0.25">
      <c r="J605" s="400" t="s">
        <v>336</v>
      </c>
      <c r="K605" s="401" t="s">
        <v>1475</v>
      </c>
      <c r="L605" s="402" t="s">
        <v>1476</v>
      </c>
      <c r="M605" s="402">
        <v>321460.5</v>
      </c>
      <c r="N605" s="402">
        <v>21000</v>
      </c>
      <c r="O605" s="402">
        <v>0</v>
      </c>
      <c r="P605" s="402">
        <v>0</v>
      </c>
      <c r="Q605" s="402">
        <v>0</v>
      </c>
      <c r="R605" s="402">
        <v>0</v>
      </c>
      <c r="S605" s="402">
        <v>0</v>
      </c>
      <c r="T605" s="402">
        <v>0</v>
      </c>
      <c r="U605" s="402">
        <v>0</v>
      </c>
      <c r="V605" s="402">
        <v>64292.1</v>
      </c>
      <c r="W605" s="402">
        <v>64292.1</v>
      </c>
      <c r="X605" s="402">
        <v>64292.1</v>
      </c>
      <c r="Y605" s="402">
        <v>64292.1</v>
      </c>
      <c r="Z605" s="402">
        <v>64292.1</v>
      </c>
      <c r="AA605" s="402">
        <v>321460.5</v>
      </c>
    </row>
    <row r="606" spans="10:27" ht="15" customHeight="1" x14ac:dyDescent="0.25">
      <c r="J606" s="400" t="s">
        <v>336</v>
      </c>
      <c r="K606" s="401" t="s">
        <v>1477</v>
      </c>
      <c r="L606" s="402" t="s">
        <v>1478</v>
      </c>
      <c r="M606" s="402">
        <v>1171770.3999999999</v>
      </c>
      <c r="N606" s="402">
        <v>1230101.6235</v>
      </c>
      <c r="O606" s="402">
        <v>0</v>
      </c>
      <c r="P606" s="402">
        <v>0</v>
      </c>
      <c r="Q606" s="402">
        <v>0</v>
      </c>
      <c r="R606" s="402">
        <v>0</v>
      </c>
      <c r="S606" s="402">
        <v>0</v>
      </c>
      <c r="T606" s="402">
        <v>0</v>
      </c>
      <c r="U606" s="402">
        <v>0</v>
      </c>
      <c r="V606" s="402">
        <v>181554.08</v>
      </c>
      <c r="W606" s="402">
        <v>289554.08</v>
      </c>
      <c r="X606" s="402">
        <v>289554.08</v>
      </c>
      <c r="Y606" s="402">
        <v>205554.08</v>
      </c>
      <c r="Z606" s="402">
        <v>205554.08</v>
      </c>
      <c r="AA606" s="402">
        <v>1171770.3999999999</v>
      </c>
    </row>
    <row r="607" spans="10:27" ht="15" customHeight="1" x14ac:dyDescent="0.25">
      <c r="J607" s="400" t="s">
        <v>336</v>
      </c>
      <c r="K607" s="401" t="s">
        <v>1479</v>
      </c>
      <c r="L607" s="402" t="s">
        <v>1480</v>
      </c>
      <c r="M607" s="402">
        <v>67042.7</v>
      </c>
      <c r="N607" s="402">
        <v>42000</v>
      </c>
      <c r="O607" s="402">
        <v>0</v>
      </c>
      <c r="P607" s="402">
        <v>0</v>
      </c>
      <c r="Q607" s="402">
        <v>0</v>
      </c>
      <c r="R607" s="402">
        <v>0</v>
      </c>
      <c r="S607" s="402">
        <v>0</v>
      </c>
      <c r="T607" s="402">
        <v>0</v>
      </c>
      <c r="U607" s="402">
        <v>0</v>
      </c>
      <c r="V607" s="402">
        <v>13408.54</v>
      </c>
      <c r="W607" s="402">
        <v>13408.54</v>
      </c>
      <c r="X607" s="402">
        <v>13408.54</v>
      </c>
      <c r="Y607" s="402">
        <v>13408.54</v>
      </c>
      <c r="Z607" s="402">
        <v>13408.54</v>
      </c>
      <c r="AA607" s="402">
        <v>67042.7</v>
      </c>
    </row>
    <row r="608" spans="10:27" ht="15" customHeight="1" x14ac:dyDescent="0.25">
      <c r="J608" s="400" t="s">
        <v>336</v>
      </c>
      <c r="K608" s="401" t="s">
        <v>1481</v>
      </c>
      <c r="L608" s="402" t="s">
        <v>1482</v>
      </c>
      <c r="M608" s="402">
        <v>125277.0043727</v>
      </c>
      <c r="N608" s="402">
        <v>140000</v>
      </c>
      <c r="O608" s="402">
        <v>0</v>
      </c>
      <c r="P608" s="402">
        <v>0</v>
      </c>
      <c r="Q608" s="402">
        <v>0</v>
      </c>
      <c r="R608" s="402">
        <v>0</v>
      </c>
      <c r="S608" s="402">
        <v>0</v>
      </c>
      <c r="T608" s="402">
        <v>0</v>
      </c>
      <c r="U608" s="402">
        <v>0</v>
      </c>
      <c r="V608" s="402">
        <v>260.54520000000002</v>
      </c>
      <c r="W608" s="402">
        <v>36254.104738299997</v>
      </c>
      <c r="X608" s="402">
        <v>36254.104738299997</v>
      </c>
      <c r="Y608" s="402">
        <v>44252.194957799999</v>
      </c>
      <c r="Z608" s="402">
        <v>8256.0547382999994</v>
      </c>
      <c r="AA608" s="402">
        <v>125277.0043727</v>
      </c>
    </row>
    <row r="609" spans="10:27" ht="15" customHeight="1" x14ac:dyDescent="0.25">
      <c r="J609" s="400" t="s">
        <v>336</v>
      </c>
      <c r="K609" s="401" t="s">
        <v>1483</v>
      </c>
      <c r="L609" s="402" t="s">
        <v>1484</v>
      </c>
      <c r="M609" s="402">
        <v>6511648.8989541996</v>
      </c>
      <c r="N609" s="402">
        <v>2057542.2285420001</v>
      </c>
      <c r="O609" s="402">
        <v>0</v>
      </c>
      <c r="P609" s="402">
        <v>0</v>
      </c>
      <c r="Q609" s="402">
        <v>0</v>
      </c>
      <c r="R609" s="402">
        <v>0</v>
      </c>
      <c r="S609" s="402">
        <v>0</v>
      </c>
      <c r="T609" s="402">
        <v>0</v>
      </c>
      <c r="U609" s="402">
        <v>0</v>
      </c>
      <c r="V609" s="402">
        <v>1126233.0651902</v>
      </c>
      <c r="W609" s="402">
        <v>1540918.1374061001</v>
      </c>
      <c r="X609" s="402">
        <v>1133733.0651902</v>
      </c>
      <c r="Y609" s="402">
        <v>1147132.7794759001</v>
      </c>
      <c r="Z609" s="402">
        <v>1563631.8516917999</v>
      </c>
      <c r="AA609" s="402">
        <v>6511648.8989541996</v>
      </c>
    </row>
    <row r="610" spans="10:27" ht="15" customHeight="1" x14ac:dyDescent="0.25">
      <c r="J610" s="400" t="s">
        <v>336</v>
      </c>
      <c r="K610" s="401" t="s">
        <v>1485</v>
      </c>
      <c r="L610" s="402" t="s">
        <v>1486</v>
      </c>
      <c r="M610" s="402">
        <v>-1504700.6427664</v>
      </c>
      <c r="N610" s="402">
        <v>1973084.0769227999</v>
      </c>
      <c r="O610" s="402">
        <v>0</v>
      </c>
      <c r="P610" s="402">
        <v>0</v>
      </c>
      <c r="Q610" s="402">
        <v>0</v>
      </c>
      <c r="R610" s="402">
        <v>0</v>
      </c>
      <c r="S610" s="402">
        <v>0</v>
      </c>
      <c r="T610" s="402">
        <v>0</v>
      </c>
      <c r="U610" s="402">
        <v>0</v>
      </c>
      <c r="V610" s="402">
        <v>-338049.59858799999</v>
      </c>
      <c r="W610" s="402">
        <v>-291692.6139233</v>
      </c>
      <c r="X610" s="402">
        <v>-319065.18179900001</v>
      </c>
      <c r="Y610" s="402">
        <v>-306508.18179900001</v>
      </c>
      <c r="Z610" s="402">
        <v>-249385.06665709999</v>
      </c>
      <c r="AA610" s="402">
        <v>-1504700.6427664</v>
      </c>
    </row>
    <row r="611" spans="10:27" ht="15" customHeight="1" x14ac:dyDescent="0.25">
      <c r="J611" s="400" t="s">
        <v>336</v>
      </c>
      <c r="K611" s="401" t="s">
        <v>1487</v>
      </c>
      <c r="L611" s="402" t="s">
        <v>1488</v>
      </c>
      <c r="M611" s="402">
        <v>191715</v>
      </c>
      <c r="N611" s="402">
        <v>0</v>
      </c>
      <c r="O611" s="402">
        <v>0</v>
      </c>
      <c r="P611" s="402">
        <v>0</v>
      </c>
      <c r="Q611" s="402">
        <v>0</v>
      </c>
      <c r="R611" s="402">
        <v>0</v>
      </c>
      <c r="S611" s="402">
        <v>0</v>
      </c>
      <c r="T611" s="402">
        <v>0</v>
      </c>
      <c r="U611" s="402">
        <v>0</v>
      </c>
      <c r="V611" s="402">
        <v>38343</v>
      </c>
      <c r="W611" s="402">
        <v>38343</v>
      </c>
      <c r="X611" s="402">
        <v>38343</v>
      </c>
      <c r="Y611" s="402">
        <v>38343</v>
      </c>
      <c r="Z611" s="402">
        <v>38343</v>
      </c>
      <c r="AA611" s="402">
        <v>191715</v>
      </c>
    </row>
    <row r="612" spans="10:27" ht="15" customHeight="1" x14ac:dyDescent="0.25">
      <c r="J612" s="400" t="s">
        <v>336</v>
      </c>
      <c r="K612" s="401" t="s">
        <v>1489</v>
      </c>
      <c r="L612" s="402" t="s">
        <v>1490</v>
      </c>
      <c r="M612" s="402">
        <v>100368.6569596</v>
      </c>
      <c r="N612" s="402">
        <v>360180</v>
      </c>
      <c r="O612" s="402">
        <v>0</v>
      </c>
      <c r="P612" s="402">
        <v>0</v>
      </c>
      <c r="Q612" s="402">
        <v>0</v>
      </c>
      <c r="R612" s="402">
        <v>0</v>
      </c>
      <c r="S612" s="402">
        <v>0</v>
      </c>
      <c r="T612" s="402">
        <v>0</v>
      </c>
      <c r="U612" s="402">
        <v>0</v>
      </c>
      <c r="V612" s="402">
        <v>21739.7086437</v>
      </c>
      <c r="W612" s="402">
        <v>18952.2272376</v>
      </c>
      <c r="X612" s="402">
        <v>20345.966430799999</v>
      </c>
      <c r="Y612" s="402">
        <v>20362.620419700001</v>
      </c>
      <c r="Z612" s="402">
        <v>18968.134227800001</v>
      </c>
      <c r="AA612" s="402">
        <v>100368.6569596</v>
      </c>
    </row>
    <row r="613" spans="10:27" ht="15" customHeight="1" x14ac:dyDescent="0.2">
      <c r="J613" s="392" t="s">
        <v>336</v>
      </c>
      <c r="K613" s="397" t="s">
        <v>1491</v>
      </c>
      <c r="L613" s="392" t="s">
        <v>1492</v>
      </c>
      <c r="M613" s="393">
        <v>425705920.28207451</v>
      </c>
      <c r="N613" s="393">
        <v>432935082.60810691</v>
      </c>
      <c r="O613" s="393">
        <v>34544702.240000002</v>
      </c>
      <c r="P613" s="393">
        <v>34645805.840000004</v>
      </c>
      <c r="Q613" s="393">
        <v>34798823.68</v>
      </c>
      <c r="R613" s="393">
        <v>35165886.049999997</v>
      </c>
      <c r="S613" s="393">
        <v>35165230.939999998</v>
      </c>
      <c r="T613" s="393">
        <v>35204324.75</v>
      </c>
      <c r="U613" s="393">
        <v>35472669.539999999</v>
      </c>
      <c r="V613" s="393">
        <v>35499994.696414903</v>
      </c>
      <c r="W613" s="393">
        <v>35915702.046414897</v>
      </c>
      <c r="X613" s="393">
        <v>36129550.6764149</v>
      </c>
      <c r="Y613" s="393">
        <v>36459280.9264149</v>
      </c>
      <c r="Z613" s="393">
        <v>36703948.896414898</v>
      </c>
      <c r="AA613" s="393">
        <v>425705920.28207451</v>
      </c>
    </row>
    <row r="614" spans="10:27" ht="15" customHeight="1" x14ac:dyDescent="0.2">
      <c r="J614" s="392" t="s">
        <v>336</v>
      </c>
      <c r="K614" s="398" t="s">
        <v>1493</v>
      </c>
      <c r="L614" s="392" t="s">
        <v>1494</v>
      </c>
      <c r="M614" s="393">
        <v>392820295.29000002</v>
      </c>
      <c r="N614" s="393">
        <v>400039223.58810687</v>
      </c>
      <c r="O614" s="393">
        <v>31931412.43</v>
      </c>
      <c r="P614" s="393">
        <v>32015315.43</v>
      </c>
      <c r="Q614" s="393">
        <v>32177040.41</v>
      </c>
      <c r="R614" s="393">
        <v>32467000.66</v>
      </c>
      <c r="S614" s="393">
        <v>32466625.300000001</v>
      </c>
      <c r="T614" s="393">
        <v>32502134.449999999</v>
      </c>
      <c r="U614" s="393">
        <v>32726971.870000001</v>
      </c>
      <c r="V614" s="393">
        <v>32729752.18</v>
      </c>
      <c r="W614" s="393">
        <v>33103644.710000001</v>
      </c>
      <c r="X614" s="393">
        <v>33306830.359999999</v>
      </c>
      <c r="Y614" s="393">
        <v>33592525.280000001</v>
      </c>
      <c r="Z614" s="393">
        <v>33801042.210000001</v>
      </c>
      <c r="AA614" s="393">
        <v>392820295.29000002</v>
      </c>
    </row>
    <row r="615" spans="10:27" ht="15" customHeight="1" x14ac:dyDescent="0.25">
      <c r="J615" s="400" t="s">
        <v>336</v>
      </c>
      <c r="K615" s="407" t="s">
        <v>1495</v>
      </c>
      <c r="L615" s="402" t="s">
        <v>1496</v>
      </c>
      <c r="M615" s="402">
        <v>372331433.26539248</v>
      </c>
      <c r="N615" s="402">
        <v>377889504.12</v>
      </c>
      <c r="O615" s="402">
        <v>30403369.190000001</v>
      </c>
      <c r="P615" s="402">
        <v>30494588.199999999</v>
      </c>
      <c r="Q615" s="402">
        <v>30637246.02</v>
      </c>
      <c r="R615" s="402">
        <v>30849106.920000002</v>
      </c>
      <c r="S615" s="402">
        <v>30840033.719999999</v>
      </c>
      <c r="T615" s="402">
        <v>30857396.390000001</v>
      </c>
      <c r="U615" s="402">
        <v>31052572.75</v>
      </c>
      <c r="V615" s="402">
        <v>31039288.429519199</v>
      </c>
      <c r="W615" s="402">
        <v>31290764.439422999</v>
      </c>
      <c r="X615" s="402">
        <v>31478274.049423002</v>
      </c>
      <c r="Y615" s="402">
        <v>31604903.872962099</v>
      </c>
      <c r="Z615" s="402">
        <v>31783889.284065198</v>
      </c>
      <c r="AA615" s="402">
        <v>372331433.26539248</v>
      </c>
    </row>
    <row r="616" spans="10:27" ht="15" customHeight="1" x14ac:dyDescent="0.25">
      <c r="J616" s="400" t="s">
        <v>336</v>
      </c>
      <c r="K616" s="407" t="s">
        <v>1497</v>
      </c>
      <c r="L616" s="402" t="s">
        <v>1498</v>
      </c>
      <c r="M616" s="402">
        <v>772211.41</v>
      </c>
      <c r="N616" s="402">
        <v>215616.84</v>
      </c>
      <c r="O616" s="402">
        <v>98723.53</v>
      </c>
      <c r="P616" s="402">
        <v>100359.8</v>
      </c>
      <c r="Q616" s="402">
        <v>101049.94</v>
      </c>
      <c r="R616" s="402">
        <v>105435.06</v>
      </c>
      <c r="S616" s="402">
        <v>102362.99</v>
      </c>
      <c r="T616" s="402">
        <v>110686</v>
      </c>
      <c r="U616" s="402">
        <v>105293.1</v>
      </c>
      <c r="V616" s="402">
        <v>993.81</v>
      </c>
      <c r="W616" s="402">
        <v>6441.97</v>
      </c>
      <c r="X616" s="402">
        <v>8725.6</v>
      </c>
      <c r="Y616" s="402">
        <v>12911.32</v>
      </c>
      <c r="Z616" s="402">
        <v>19228.29</v>
      </c>
      <c r="AA616" s="402">
        <v>772211.41</v>
      </c>
    </row>
    <row r="617" spans="10:27" ht="15" customHeight="1" x14ac:dyDescent="0.25">
      <c r="J617" s="400" t="s">
        <v>336</v>
      </c>
      <c r="K617" s="407" t="s">
        <v>1499</v>
      </c>
      <c r="L617" s="402" t="s">
        <v>1500</v>
      </c>
      <c r="M617" s="402">
        <v>4052882</v>
      </c>
      <c r="N617" s="402">
        <v>7951009</v>
      </c>
      <c r="O617" s="402">
        <v>549566</v>
      </c>
      <c r="P617" s="402">
        <v>549571</v>
      </c>
      <c r="Q617" s="402">
        <v>549571</v>
      </c>
      <c r="R617" s="402">
        <v>595613</v>
      </c>
      <c r="S617" s="402">
        <v>596018</v>
      </c>
      <c r="T617" s="402">
        <v>596018</v>
      </c>
      <c r="U617" s="402">
        <v>616525</v>
      </c>
      <c r="V617" s="402">
        <v>0</v>
      </c>
      <c r="W617" s="402">
        <v>0</v>
      </c>
      <c r="X617" s="402">
        <v>0</v>
      </c>
      <c r="Y617" s="402">
        <v>0</v>
      </c>
      <c r="Z617" s="402">
        <v>0</v>
      </c>
      <c r="AA617" s="402">
        <v>4052882</v>
      </c>
    </row>
    <row r="618" spans="10:27" ht="15" customHeight="1" x14ac:dyDescent="0.25">
      <c r="J618" s="400" t="s">
        <v>336</v>
      </c>
      <c r="K618" s="407" t="s">
        <v>1501</v>
      </c>
      <c r="L618" s="402" t="s">
        <v>1502</v>
      </c>
      <c r="M618" s="402">
        <v>8014743</v>
      </c>
      <c r="N618" s="402">
        <v>8014743</v>
      </c>
      <c r="O618" s="402">
        <v>667895.25</v>
      </c>
      <c r="P618" s="402">
        <v>667895.25</v>
      </c>
      <c r="Q618" s="402">
        <v>667895.25</v>
      </c>
      <c r="R618" s="402">
        <v>667895.25</v>
      </c>
      <c r="S618" s="402">
        <v>667895.25</v>
      </c>
      <c r="T618" s="402">
        <v>667895.25</v>
      </c>
      <c r="U618" s="402">
        <v>667895.25</v>
      </c>
      <c r="V618" s="402">
        <v>667895.25</v>
      </c>
      <c r="W618" s="402">
        <v>667895.25</v>
      </c>
      <c r="X618" s="402">
        <v>667895.25</v>
      </c>
      <c r="Y618" s="402">
        <v>667895.25</v>
      </c>
      <c r="Z618" s="402">
        <v>667895.25</v>
      </c>
      <c r="AA618" s="402">
        <v>8014743</v>
      </c>
    </row>
    <row r="619" spans="10:27" ht="15" customHeight="1" x14ac:dyDescent="0.25">
      <c r="J619" s="400" t="s">
        <v>336</v>
      </c>
      <c r="K619" s="407" t="s">
        <v>1503</v>
      </c>
      <c r="L619" s="402" t="s">
        <v>1504</v>
      </c>
      <c r="M619" s="402">
        <v>1198838.1100000001</v>
      </c>
      <c r="N619" s="402">
        <v>4170902.6981068999</v>
      </c>
      <c r="O619" s="402">
        <v>131566.32</v>
      </c>
      <c r="P619" s="402">
        <v>130947.69</v>
      </c>
      <c r="Q619" s="402">
        <v>151469.31</v>
      </c>
      <c r="R619" s="402">
        <v>179141.54</v>
      </c>
      <c r="S619" s="402">
        <v>190506.45</v>
      </c>
      <c r="T619" s="402">
        <v>200329.92</v>
      </c>
      <c r="U619" s="402">
        <v>214876.88</v>
      </c>
      <c r="V619" s="402">
        <v>0</v>
      </c>
      <c r="W619" s="402">
        <v>0</v>
      </c>
      <c r="X619" s="402">
        <v>0</v>
      </c>
      <c r="Y619" s="402">
        <v>0</v>
      </c>
      <c r="Z619" s="402">
        <v>0</v>
      </c>
      <c r="AA619" s="402">
        <v>1198838.1100000001</v>
      </c>
    </row>
    <row r="620" spans="10:27" ht="15" customHeight="1" x14ac:dyDescent="0.25">
      <c r="J620" s="400" t="s">
        <v>336</v>
      </c>
      <c r="K620" s="407" t="s">
        <v>1505</v>
      </c>
      <c r="L620" s="402" t="s">
        <v>1506</v>
      </c>
      <c r="M620" s="402">
        <v>101755</v>
      </c>
      <c r="N620" s="402">
        <v>0</v>
      </c>
      <c r="O620" s="402">
        <v>0</v>
      </c>
      <c r="P620" s="402">
        <v>0</v>
      </c>
      <c r="Q620" s="402">
        <v>0</v>
      </c>
      <c r="R620" s="402">
        <v>0</v>
      </c>
      <c r="S620" s="402">
        <v>0</v>
      </c>
      <c r="T620" s="402">
        <v>0</v>
      </c>
      <c r="U620" s="402">
        <v>0</v>
      </c>
      <c r="V620" s="402">
        <v>20351</v>
      </c>
      <c r="W620" s="402">
        <v>20351</v>
      </c>
      <c r="X620" s="402">
        <v>20351</v>
      </c>
      <c r="Y620" s="402">
        <v>20351</v>
      </c>
      <c r="Z620" s="402">
        <v>20351</v>
      </c>
      <c r="AA620" s="402">
        <v>101755</v>
      </c>
    </row>
    <row r="621" spans="10:27" ht="15" customHeight="1" x14ac:dyDescent="0.25">
      <c r="J621" s="400" t="s">
        <v>336</v>
      </c>
      <c r="K621" s="407" t="s">
        <v>1507</v>
      </c>
      <c r="L621" s="402" t="s">
        <v>1508</v>
      </c>
      <c r="M621" s="402">
        <v>408643.48</v>
      </c>
      <c r="N621" s="402">
        <v>959739.93</v>
      </c>
      <c r="O621" s="402">
        <v>0</v>
      </c>
      <c r="P621" s="402">
        <v>0</v>
      </c>
      <c r="Q621" s="402">
        <v>0</v>
      </c>
      <c r="R621" s="402">
        <v>0</v>
      </c>
      <c r="S621" s="402">
        <v>0</v>
      </c>
      <c r="T621" s="402">
        <v>0</v>
      </c>
      <c r="U621" s="402">
        <v>0</v>
      </c>
      <c r="V621" s="402">
        <v>81137.34</v>
      </c>
      <c r="W621" s="402">
        <v>81092.7</v>
      </c>
      <c r="X621" s="402">
        <v>81582.83</v>
      </c>
      <c r="Y621" s="402">
        <v>82077.429999999993</v>
      </c>
      <c r="Z621" s="402">
        <v>82753.179999999993</v>
      </c>
      <c r="AA621" s="402">
        <v>408643.48</v>
      </c>
    </row>
    <row r="622" spans="10:27" ht="15" customHeight="1" x14ac:dyDescent="0.25">
      <c r="J622" s="400" t="s">
        <v>336</v>
      </c>
      <c r="K622" s="407" t="s">
        <v>1509</v>
      </c>
      <c r="L622" s="402" t="s">
        <v>1510</v>
      </c>
      <c r="M622" s="402">
        <v>3135382</v>
      </c>
      <c r="N622" s="402">
        <v>0</v>
      </c>
      <c r="O622" s="402">
        <v>0</v>
      </c>
      <c r="P622" s="402">
        <v>0</v>
      </c>
      <c r="Q622" s="402">
        <v>0</v>
      </c>
      <c r="R622" s="402">
        <v>0</v>
      </c>
      <c r="S622" s="402">
        <v>0</v>
      </c>
      <c r="T622" s="402">
        <v>0</v>
      </c>
      <c r="U622" s="402">
        <v>0</v>
      </c>
      <c r="V622" s="402">
        <v>622388</v>
      </c>
      <c r="W622" s="402">
        <v>622388</v>
      </c>
      <c r="X622" s="402">
        <v>622388</v>
      </c>
      <c r="Y622" s="402">
        <v>634110</v>
      </c>
      <c r="Z622" s="402">
        <v>634108</v>
      </c>
      <c r="AA622" s="402">
        <v>3135382</v>
      </c>
    </row>
    <row r="623" spans="10:27" ht="15" customHeight="1" x14ac:dyDescent="0.25">
      <c r="J623" s="400" t="s">
        <v>336</v>
      </c>
      <c r="K623" s="407" t="s">
        <v>1511</v>
      </c>
      <c r="L623" s="402" t="s">
        <v>1512</v>
      </c>
      <c r="M623" s="402">
        <v>1954071.9446075</v>
      </c>
      <c r="N623" s="402">
        <v>0</v>
      </c>
      <c r="O623" s="402">
        <v>0</v>
      </c>
      <c r="P623" s="402">
        <v>0</v>
      </c>
      <c r="Q623" s="402">
        <v>0</v>
      </c>
      <c r="R623" s="402">
        <v>0</v>
      </c>
      <c r="S623" s="402">
        <v>0</v>
      </c>
      <c r="T623" s="402">
        <v>0</v>
      </c>
      <c r="U623" s="402">
        <v>0</v>
      </c>
      <c r="V623" s="402">
        <v>227889.3504808</v>
      </c>
      <c r="W623" s="402">
        <v>344902.350577</v>
      </c>
      <c r="X623" s="402">
        <v>357804.63057699997</v>
      </c>
      <c r="Y623" s="402">
        <v>500467.4070379</v>
      </c>
      <c r="Z623" s="402">
        <v>523008.20593479997</v>
      </c>
      <c r="AA623" s="402">
        <v>1954071.9446075</v>
      </c>
    </row>
    <row r="624" spans="10:27" ht="15" customHeight="1" x14ac:dyDescent="0.25">
      <c r="J624" s="400" t="s">
        <v>336</v>
      </c>
      <c r="K624" s="407" t="s">
        <v>1513</v>
      </c>
      <c r="L624" s="402" t="s">
        <v>1514</v>
      </c>
      <c r="M624" s="402">
        <v>501290.08</v>
      </c>
      <c r="N624" s="402">
        <v>837708</v>
      </c>
      <c r="O624" s="402">
        <v>80292.14</v>
      </c>
      <c r="P624" s="402">
        <v>71953.490000000005</v>
      </c>
      <c r="Q624" s="402">
        <v>69808.89</v>
      </c>
      <c r="R624" s="402">
        <v>69808.89</v>
      </c>
      <c r="S624" s="402">
        <v>69808.89</v>
      </c>
      <c r="T624" s="402">
        <v>69808.89</v>
      </c>
      <c r="U624" s="402">
        <v>69808.89</v>
      </c>
      <c r="V624" s="402">
        <v>0</v>
      </c>
      <c r="W624" s="402">
        <v>0</v>
      </c>
      <c r="X624" s="402">
        <v>0</v>
      </c>
      <c r="Y624" s="402">
        <v>0</v>
      </c>
      <c r="Z624" s="402">
        <v>0</v>
      </c>
      <c r="AA624" s="402">
        <v>501290.08</v>
      </c>
    </row>
    <row r="625" spans="10:27" ht="15" customHeight="1" x14ac:dyDescent="0.25">
      <c r="J625" s="400" t="s">
        <v>336</v>
      </c>
      <c r="K625" s="407" t="s">
        <v>1515</v>
      </c>
      <c r="L625" s="402" t="s">
        <v>1516</v>
      </c>
      <c r="M625" s="402">
        <v>349045</v>
      </c>
      <c r="N625" s="402">
        <v>0</v>
      </c>
      <c r="O625" s="402">
        <v>0</v>
      </c>
      <c r="P625" s="402">
        <v>0</v>
      </c>
      <c r="Q625" s="402">
        <v>0</v>
      </c>
      <c r="R625" s="402">
        <v>0</v>
      </c>
      <c r="S625" s="402">
        <v>0</v>
      </c>
      <c r="T625" s="402">
        <v>0</v>
      </c>
      <c r="U625" s="402">
        <v>0</v>
      </c>
      <c r="V625" s="402">
        <v>69809</v>
      </c>
      <c r="W625" s="402">
        <v>69809</v>
      </c>
      <c r="X625" s="402">
        <v>69809</v>
      </c>
      <c r="Y625" s="402">
        <v>69809</v>
      </c>
      <c r="Z625" s="402">
        <v>69809</v>
      </c>
      <c r="AA625" s="402">
        <v>349045</v>
      </c>
    </row>
    <row r="626" spans="10:27" ht="15" customHeight="1" x14ac:dyDescent="0.2">
      <c r="J626" s="392" t="s">
        <v>336</v>
      </c>
      <c r="K626" s="398" t="s">
        <v>1517</v>
      </c>
      <c r="L626" s="392" t="s">
        <v>1518</v>
      </c>
      <c r="M626" s="393">
        <v>32885624.992074501</v>
      </c>
      <c r="N626" s="393">
        <v>32895859.02</v>
      </c>
      <c r="O626" s="393">
        <v>2613289.81</v>
      </c>
      <c r="P626" s="393">
        <v>2630490.41</v>
      </c>
      <c r="Q626" s="393">
        <v>2621783.27</v>
      </c>
      <c r="R626" s="393">
        <v>2698885.39</v>
      </c>
      <c r="S626" s="393">
        <v>2698605.64</v>
      </c>
      <c r="T626" s="393">
        <v>2702190.3</v>
      </c>
      <c r="U626" s="393">
        <v>2745697.67</v>
      </c>
      <c r="V626" s="393">
        <v>2770242.5164148998</v>
      </c>
      <c r="W626" s="393">
        <v>2812057.3364149001</v>
      </c>
      <c r="X626" s="393">
        <v>2822720.3164149001</v>
      </c>
      <c r="Y626" s="393">
        <v>2866755.6464149002</v>
      </c>
      <c r="Z626" s="393">
        <v>2902906.6864148998</v>
      </c>
      <c r="AA626" s="393">
        <v>32885624.992074501</v>
      </c>
    </row>
    <row r="627" spans="10:27" ht="15" customHeight="1" x14ac:dyDescent="0.25">
      <c r="J627" s="400" t="s">
        <v>336</v>
      </c>
      <c r="K627" s="407" t="s">
        <v>1519</v>
      </c>
      <c r="L627" s="402" t="s">
        <v>1520</v>
      </c>
      <c r="M627" s="402">
        <v>32239096.859999999</v>
      </c>
      <c r="N627" s="402">
        <v>32328574.379999999</v>
      </c>
      <c r="O627" s="402">
        <v>2566016.11</v>
      </c>
      <c r="P627" s="402">
        <v>2572938.34</v>
      </c>
      <c r="Q627" s="402">
        <v>2581201.52</v>
      </c>
      <c r="R627" s="402">
        <v>2641333.3199999998</v>
      </c>
      <c r="S627" s="402">
        <v>2641053.6</v>
      </c>
      <c r="T627" s="402">
        <v>2661486.12</v>
      </c>
      <c r="U627" s="402">
        <v>2688145.63</v>
      </c>
      <c r="V627" s="402">
        <v>2712690.46</v>
      </c>
      <c r="W627" s="402">
        <v>2754505.28</v>
      </c>
      <c r="X627" s="402">
        <v>2765168.26</v>
      </c>
      <c r="Y627" s="402">
        <v>2809203.59</v>
      </c>
      <c r="Z627" s="402">
        <v>2845354.63</v>
      </c>
      <c r="AA627" s="402">
        <v>32239096.859999999</v>
      </c>
    </row>
    <row r="628" spans="10:27" ht="15" customHeight="1" x14ac:dyDescent="0.25">
      <c r="J628" s="400" t="s">
        <v>336</v>
      </c>
      <c r="K628" s="407" t="s">
        <v>1521</v>
      </c>
      <c r="L628" s="402" t="s">
        <v>1522</v>
      </c>
      <c r="M628" s="402">
        <v>185749.28</v>
      </c>
      <c r="N628" s="402">
        <v>185749.32</v>
      </c>
      <c r="O628" s="402">
        <v>15479.1</v>
      </c>
      <c r="P628" s="402">
        <v>15479.11</v>
      </c>
      <c r="Q628" s="402">
        <v>15479.1</v>
      </c>
      <c r="R628" s="402">
        <v>15479.11</v>
      </c>
      <c r="S628" s="402">
        <v>15479.1</v>
      </c>
      <c r="T628" s="402">
        <v>15479.11</v>
      </c>
      <c r="U628" s="402">
        <v>15479.1</v>
      </c>
      <c r="V628" s="402">
        <v>15479.11</v>
      </c>
      <c r="W628" s="402">
        <v>15479.11</v>
      </c>
      <c r="X628" s="402">
        <v>15479.11</v>
      </c>
      <c r="Y628" s="402">
        <v>15479.11</v>
      </c>
      <c r="Z628" s="402">
        <v>15479.11</v>
      </c>
      <c r="AA628" s="402">
        <v>185749.28</v>
      </c>
    </row>
    <row r="629" spans="10:27" ht="15" customHeight="1" x14ac:dyDescent="0.25">
      <c r="J629" s="400" t="s">
        <v>336</v>
      </c>
      <c r="K629" s="407" t="s">
        <v>1523</v>
      </c>
      <c r="L629" s="402" t="s">
        <v>1524</v>
      </c>
      <c r="M629" s="402">
        <v>50959.43</v>
      </c>
      <c r="N629" s="402">
        <v>50959.44</v>
      </c>
      <c r="O629" s="402">
        <v>4246.6099999999997</v>
      </c>
      <c r="P629" s="402">
        <v>4246.63</v>
      </c>
      <c r="Q629" s="402">
        <v>4246.6099999999997</v>
      </c>
      <c r="R629" s="402">
        <v>4246.63</v>
      </c>
      <c r="S629" s="402">
        <v>4246.6099999999997</v>
      </c>
      <c r="T629" s="402">
        <v>4246.63</v>
      </c>
      <c r="U629" s="402">
        <v>4246.6099999999997</v>
      </c>
      <c r="V629" s="402">
        <v>4246.62</v>
      </c>
      <c r="W629" s="402">
        <v>4246.62</v>
      </c>
      <c r="X629" s="402">
        <v>4246.62</v>
      </c>
      <c r="Y629" s="402">
        <v>4246.62</v>
      </c>
      <c r="Z629" s="402">
        <v>4246.62</v>
      </c>
      <c r="AA629" s="402">
        <v>50959.43</v>
      </c>
    </row>
    <row r="630" spans="10:27" ht="15" customHeight="1" x14ac:dyDescent="0.25">
      <c r="J630" s="400" t="s">
        <v>336</v>
      </c>
      <c r="K630" s="407" t="s">
        <v>1525</v>
      </c>
      <c r="L630" s="402" t="s">
        <v>1526</v>
      </c>
      <c r="M630" s="402">
        <v>220687.79</v>
      </c>
      <c r="N630" s="402">
        <v>0</v>
      </c>
      <c r="O630" s="402">
        <v>27547.99</v>
      </c>
      <c r="P630" s="402">
        <v>37826.33</v>
      </c>
      <c r="Q630" s="402">
        <v>20856.04</v>
      </c>
      <c r="R630" s="402">
        <v>37826.33</v>
      </c>
      <c r="S630" s="402">
        <v>37826.33</v>
      </c>
      <c r="T630" s="402">
        <v>20978.44</v>
      </c>
      <c r="U630" s="402">
        <v>37826.33</v>
      </c>
      <c r="V630" s="402">
        <v>0</v>
      </c>
      <c r="W630" s="402">
        <v>0</v>
      </c>
      <c r="X630" s="402">
        <v>0</v>
      </c>
      <c r="Y630" s="402">
        <v>0</v>
      </c>
      <c r="Z630" s="402">
        <v>0</v>
      </c>
      <c r="AA630" s="402">
        <v>220687.79</v>
      </c>
    </row>
    <row r="631" spans="10:27" ht="15" customHeight="1" x14ac:dyDescent="0.25">
      <c r="J631" s="400" t="s">
        <v>336</v>
      </c>
      <c r="K631" s="407" t="s">
        <v>1527</v>
      </c>
      <c r="L631" s="402" t="s">
        <v>1528</v>
      </c>
      <c r="M631" s="402">
        <v>189131.6320745</v>
      </c>
      <c r="N631" s="402">
        <v>330575.88</v>
      </c>
      <c r="O631" s="402">
        <v>0</v>
      </c>
      <c r="P631" s="402">
        <v>0</v>
      </c>
      <c r="Q631" s="402">
        <v>0</v>
      </c>
      <c r="R631" s="402">
        <v>0</v>
      </c>
      <c r="S631" s="402">
        <v>0</v>
      </c>
      <c r="T631" s="402">
        <v>0</v>
      </c>
      <c r="U631" s="402">
        <v>0</v>
      </c>
      <c r="V631" s="402">
        <v>37826.326414900002</v>
      </c>
      <c r="W631" s="402">
        <v>37826.326414900002</v>
      </c>
      <c r="X631" s="402">
        <v>37826.326414900002</v>
      </c>
      <c r="Y631" s="402">
        <v>37826.326414900002</v>
      </c>
      <c r="Z631" s="402">
        <v>37826.326414900002</v>
      </c>
      <c r="AA631" s="402">
        <v>189131.6320745</v>
      </c>
    </row>
    <row r="632" spans="10:27" ht="15" customHeight="1" x14ac:dyDescent="0.2">
      <c r="J632" s="392" t="s">
        <v>336</v>
      </c>
      <c r="K632" s="397" t="s">
        <v>1529</v>
      </c>
      <c r="L632" s="392" t="s">
        <v>1530</v>
      </c>
      <c r="M632" s="393">
        <v>233167627.87784481</v>
      </c>
      <c r="N632" s="393">
        <v>245298458.1984843</v>
      </c>
      <c r="O632" s="393">
        <v>17888755.670000002</v>
      </c>
      <c r="P632" s="393">
        <v>16847112.5</v>
      </c>
      <c r="Q632" s="393">
        <v>17283345.010000002</v>
      </c>
      <c r="R632" s="393">
        <v>18726304.870000001</v>
      </c>
      <c r="S632" s="393">
        <v>19263857.399999999</v>
      </c>
      <c r="T632" s="393">
        <v>20373264.149999999</v>
      </c>
      <c r="U632" s="393">
        <v>22134863.010000002</v>
      </c>
      <c r="V632" s="393">
        <v>21418546.712001</v>
      </c>
      <c r="W632" s="393">
        <v>21688594.834653102</v>
      </c>
      <c r="X632" s="393">
        <v>20619018.5253915</v>
      </c>
      <c r="Y632" s="393">
        <v>18608525.682602402</v>
      </c>
      <c r="Z632" s="393">
        <v>18315439.5131968</v>
      </c>
      <c r="AA632" s="393">
        <v>233167627.87784481</v>
      </c>
    </row>
    <row r="633" spans="10:27" ht="15" customHeight="1" x14ac:dyDescent="0.25">
      <c r="J633" s="400" t="s">
        <v>336</v>
      </c>
      <c r="K633" s="408" t="s">
        <v>1531</v>
      </c>
      <c r="L633" s="402" t="s">
        <v>1532</v>
      </c>
      <c r="M633" s="402">
        <v>37393878.57</v>
      </c>
      <c r="N633" s="402">
        <v>71993000</v>
      </c>
      <c r="O633" s="402">
        <v>4791177.3099999996</v>
      </c>
      <c r="P633" s="402">
        <v>4428281.03</v>
      </c>
      <c r="Q633" s="402">
        <v>4521765.38</v>
      </c>
      <c r="R633" s="402">
        <v>5289998.8</v>
      </c>
      <c r="S633" s="402">
        <v>5562286.5999999996</v>
      </c>
      <c r="T633" s="402">
        <v>5948601.9000000004</v>
      </c>
      <c r="U633" s="402">
        <v>6851767.5499999998</v>
      </c>
      <c r="V633" s="402">
        <v>0</v>
      </c>
      <c r="W633" s="402">
        <v>0</v>
      </c>
      <c r="X633" s="402">
        <v>0</v>
      </c>
      <c r="Y633" s="402">
        <v>0</v>
      </c>
      <c r="Z633" s="402">
        <v>0</v>
      </c>
      <c r="AA633" s="402">
        <v>37393878.57</v>
      </c>
    </row>
    <row r="634" spans="10:27" ht="15" customHeight="1" x14ac:dyDescent="0.25">
      <c r="J634" s="400" t="s">
        <v>336</v>
      </c>
      <c r="K634" s="408" t="s">
        <v>1533</v>
      </c>
      <c r="L634" s="402" t="s">
        <v>1534</v>
      </c>
      <c r="M634" s="402">
        <v>39531426.789999999</v>
      </c>
      <c r="N634" s="402">
        <v>75083000</v>
      </c>
      <c r="O634" s="402">
        <v>5083567.6100000003</v>
      </c>
      <c r="P634" s="402">
        <v>4519339.7300000004</v>
      </c>
      <c r="Q634" s="402">
        <v>4693489.9000000004</v>
      </c>
      <c r="R634" s="402">
        <v>5570240.3399999999</v>
      </c>
      <c r="S634" s="402">
        <v>5877160.2599999998</v>
      </c>
      <c r="T634" s="402">
        <v>6427757.5999999996</v>
      </c>
      <c r="U634" s="402">
        <v>7359871.3499999996</v>
      </c>
      <c r="V634" s="402">
        <v>0</v>
      </c>
      <c r="W634" s="402">
        <v>0</v>
      </c>
      <c r="X634" s="402">
        <v>0</v>
      </c>
      <c r="Y634" s="402">
        <v>0</v>
      </c>
      <c r="Z634" s="402">
        <v>0</v>
      </c>
      <c r="AA634" s="402">
        <v>39531426.789999999</v>
      </c>
    </row>
    <row r="635" spans="10:27" ht="15" customHeight="1" x14ac:dyDescent="0.25">
      <c r="J635" s="400" t="s">
        <v>336</v>
      </c>
      <c r="K635" s="408" t="s">
        <v>1535</v>
      </c>
      <c r="L635" s="402" t="s">
        <v>1536</v>
      </c>
      <c r="M635" s="402">
        <v>11224700.74</v>
      </c>
      <c r="N635" s="402">
        <v>14626191.9512734</v>
      </c>
      <c r="O635" s="402">
        <v>1586953.07</v>
      </c>
      <c r="P635" s="402">
        <v>1485899.1</v>
      </c>
      <c r="Q635" s="402">
        <v>3997401.92</v>
      </c>
      <c r="R635" s="402">
        <v>1447838.44</v>
      </c>
      <c r="S635" s="402">
        <v>1504135.11</v>
      </c>
      <c r="T635" s="402">
        <v>2272070.94</v>
      </c>
      <c r="U635" s="402">
        <v>-1069597.8400000001</v>
      </c>
      <c r="V635" s="402">
        <v>0</v>
      </c>
      <c r="W635" s="402">
        <v>0</v>
      </c>
      <c r="X635" s="402">
        <v>0</v>
      </c>
      <c r="Y635" s="402">
        <v>0</v>
      </c>
      <c r="Z635" s="402">
        <v>0</v>
      </c>
      <c r="AA635" s="402">
        <v>11224700.74</v>
      </c>
    </row>
    <row r="636" spans="10:27" ht="15" customHeight="1" x14ac:dyDescent="0.25">
      <c r="J636" s="400" t="s">
        <v>336</v>
      </c>
      <c r="K636" s="408" t="s">
        <v>1537</v>
      </c>
      <c r="L636" s="402" t="s">
        <v>1538</v>
      </c>
      <c r="M636" s="402">
        <v>1575747.35</v>
      </c>
      <c r="N636" s="402">
        <v>-9249.6350364000009</v>
      </c>
      <c r="O636" s="402">
        <v>173967</v>
      </c>
      <c r="P636" s="402">
        <v>173967</v>
      </c>
      <c r="Q636" s="402">
        <v>-2084442.7</v>
      </c>
      <c r="R636" s="402">
        <v>173966.67</v>
      </c>
      <c r="S636" s="402">
        <v>173966.67</v>
      </c>
      <c r="T636" s="402">
        <v>258709.34</v>
      </c>
      <c r="U636" s="402">
        <v>2705613.37</v>
      </c>
      <c r="V636" s="402">
        <v>0</v>
      </c>
      <c r="W636" s="402">
        <v>0</v>
      </c>
      <c r="X636" s="402">
        <v>0</v>
      </c>
      <c r="Y636" s="402">
        <v>0</v>
      </c>
      <c r="Z636" s="402">
        <v>0</v>
      </c>
      <c r="AA636" s="402">
        <v>1575747.35</v>
      </c>
    </row>
    <row r="637" spans="10:27" ht="15" customHeight="1" x14ac:dyDescent="0.25">
      <c r="J637" s="400" t="s">
        <v>336</v>
      </c>
      <c r="K637" s="408" t="s">
        <v>1539</v>
      </c>
      <c r="L637" s="402" t="s">
        <v>1540</v>
      </c>
      <c r="M637" s="402">
        <v>2439005.2182831001</v>
      </c>
      <c r="N637" s="402">
        <v>5629845.6771200998</v>
      </c>
      <c r="O637" s="402">
        <v>0</v>
      </c>
      <c r="P637" s="402">
        <v>5.38</v>
      </c>
      <c r="Q637" s="402">
        <v>0</v>
      </c>
      <c r="R637" s="402">
        <v>0</v>
      </c>
      <c r="S637" s="402">
        <v>7615.05</v>
      </c>
      <c r="T637" s="402">
        <v>-1038.42</v>
      </c>
      <c r="U637" s="402">
        <v>0</v>
      </c>
      <c r="V637" s="402">
        <v>474729.83070499997</v>
      </c>
      <c r="W637" s="402">
        <v>445029.98738040001</v>
      </c>
      <c r="X637" s="402">
        <v>452567.06687799998</v>
      </c>
      <c r="Y637" s="402">
        <v>455776.5892166</v>
      </c>
      <c r="Z637" s="402">
        <v>604319.73410310003</v>
      </c>
      <c r="AA637" s="402">
        <v>2439005.2182831001</v>
      </c>
    </row>
    <row r="638" spans="10:27" ht="15" customHeight="1" x14ac:dyDescent="0.25">
      <c r="J638" s="400" t="s">
        <v>336</v>
      </c>
      <c r="K638" s="408" t="s">
        <v>1541</v>
      </c>
      <c r="L638" s="402" t="s">
        <v>1542</v>
      </c>
      <c r="M638" s="402">
        <v>46249000</v>
      </c>
      <c r="N638" s="402">
        <v>79284000</v>
      </c>
      <c r="O638" s="402">
        <v>6607000</v>
      </c>
      <c r="P638" s="402">
        <v>6607000</v>
      </c>
      <c r="Q638" s="402">
        <v>6607000</v>
      </c>
      <c r="R638" s="402">
        <v>6607000</v>
      </c>
      <c r="S638" s="402">
        <v>6607000</v>
      </c>
      <c r="T638" s="402">
        <v>6607000</v>
      </c>
      <c r="U638" s="402">
        <v>6607000</v>
      </c>
      <c r="V638" s="402">
        <v>0</v>
      </c>
      <c r="W638" s="402">
        <v>0</v>
      </c>
      <c r="X638" s="402">
        <v>0</v>
      </c>
      <c r="Y638" s="402">
        <v>0</v>
      </c>
      <c r="Z638" s="402">
        <v>0</v>
      </c>
      <c r="AA638" s="402">
        <v>46249000</v>
      </c>
    </row>
    <row r="639" spans="10:27" ht="15" customHeight="1" x14ac:dyDescent="0.25">
      <c r="J639" s="400" t="s">
        <v>336</v>
      </c>
      <c r="K639" s="408" t="s">
        <v>1543</v>
      </c>
      <c r="L639" s="402" t="s">
        <v>1544</v>
      </c>
      <c r="M639" s="402">
        <v>0</v>
      </c>
      <c r="N639" s="402">
        <v>108000</v>
      </c>
      <c r="O639" s="402">
        <v>0</v>
      </c>
      <c r="P639" s="402">
        <v>0</v>
      </c>
      <c r="Q639" s="402">
        <v>0</v>
      </c>
      <c r="R639" s="402">
        <v>0</v>
      </c>
      <c r="S639" s="402">
        <v>0</v>
      </c>
      <c r="T639" s="402">
        <v>0</v>
      </c>
      <c r="U639" s="402">
        <v>0</v>
      </c>
      <c r="V639" s="402">
        <v>0</v>
      </c>
      <c r="W639" s="402">
        <v>0</v>
      </c>
      <c r="X639" s="402">
        <v>0</v>
      </c>
      <c r="Y639" s="402">
        <v>0</v>
      </c>
      <c r="Z639" s="402">
        <v>0</v>
      </c>
      <c r="AA639" s="402">
        <v>0</v>
      </c>
    </row>
    <row r="640" spans="10:27" ht="15" customHeight="1" x14ac:dyDescent="0.25">
      <c r="J640" s="400" t="s">
        <v>336</v>
      </c>
      <c r="K640" s="408" t="s">
        <v>1545</v>
      </c>
      <c r="L640" s="402" t="s">
        <v>1546</v>
      </c>
      <c r="M640" s="402">
        <v>63000</v>
      </c>
      <c r="N640" s="402">
        <v>0</v>
      </c>
      <c r="O640" s="402">
        <v>9000</v>
      </c>
      <c r="P640" s="402">
        <v>9000</v>
      </c>
      <c r="Q640" s="402">
        <v>9000</v>
      </c>
      <c r="R640" s="402">
        <v>9000</v>
      </c>
      <c r="S640" s="402">
        <v>9000</v>
      </c>
      <c r="T640" s="402">
        <v>9000</v>
      </c>
      <c r="U640" s="402">
        <v>9000</v>
      </c>
      <c r="V640" s="402">
        <v>0</v>
      </c>
      <c r="W640" s="402">
        <v>0</v>
      </c>
      <c r="X640" s="402">
        <v>0</v>
      </c>
      <c r="Y640" s="402">
        <v>0</v>
      </c>
      <c r="Z640" s="402">
        <v>0</v>
      </c>
      <c r="AA640" s="402">
        <v>63000</v>
      </c>
    </row>
    <row r="641" spans="10:27" ht="15" customHeight="1" x14ac:dyDescent="0.25">
      <c r="J641" s="400" t="s">
        <v>336</v>
      </c>
      <c r="K641" s="408" t="s">
        <v>1547</v>
      </c>
      <c r="L641" s="402" t="s">
        <v>1548</v>
      </c>
      <c r="M641" s="402">
        <v>1060236.97</v>
      </c>
      <c r="N641" s="402">
        <v>2202000</v>
      </c>
      <c r="O641" s="402">
        <v>140629.26999999999</v>
      </c>
      <c r="P641" s="402">
        <v>128096.11</v>
      </c>
      <c r="Q641" s="402">
        <v>124866.58</v>
      </c>
      <c r="R641" s="402">
        <v>156349.49</v>
      </c>
      <c r="S641" s="402">
        <v>156543.17000000001</v>
      </c>
      <c r="T641" s="402">
        <v>164066.93</v>
      </c>
      <c r="U641" s="402">
        <v>189685.42</v>
      </c>
      <c r="V641" s="402">
        <v>0</v>
      </c>
      <c r="W641" s="402">
        <v>0</v>
      </c>
      <c r="X641" s="402">
        <v>0</v>
      </c>
      <c r="Y641" s="402">
        <v>0</v>
      </c>
      <c r="Z641" s="402">
        <v>0</v>
      </c>
      <c r="AA641" s="402">
        <v>1060236.97</v>
      </c>
    </row>
    <row r="642" spans="10:27" ht="15" customHeight="1" x14ac:dyDescent="0.25">
      <c r="J642" s="400" t="s">
        <v>336</v>
      </c>
      <c r="K642" s="408" t="s">
        <v>1549</v>
      </c>
      <c r="L642" s="402" t="s">
        <v>1550</v>
      </c>
      <c r="M642" s="402">
        <v>107334.18</v>
      </c>
      <c r="N642" s="402">
        <v>240000</v>
      </c>
      <c r="O642" s="402">
        <v>21342.73</v>
      </c>
      <c r="P642" s="402">
        <v>16883.05</v>
      </c>
      <c r="Q642" s="402">
        <v>14912.79</v>
      </c>
      <c r="R642" s="402">
        <v>14076.1</v>
      </c>
      <c r="S642" s="402">
        <v>13603.17</v>
      </c>
      <c r="T642" s="402">
        <v>13410.65</v>
      </c>
      <c r="U642" s="402">
        <v>13105.69</v>
      </c>
      <c r="V642" s="402">
        <v>0</v>
      </c>
      <c r="W642" s="402">
        <v>0</v>
      </c>
      <c r="X642" s="402">
        <v>0</v>
      </c>
      <c r="Y642" s="402">
        <v>0</v>
      </c>
      <c r="Z642" s="402">
        <v>0</v>
      </c>
      <c r="AA642" s="402">
        <v>107334.18</v>
      </c>
    </row>
    <row r="643" spans="10:27" ht="15" customHeight="1" x14ac:dyDescent="0.25">
      <c r="J643" s="400" t="s">
        <v>336</v>
      </c>
      <c r="K643" s="408" t="s">
        <v>1551</v>
      </c>
      <c r="L643" s="402" t="s">
        <v>1552</v>
      </c>
      <c r="M643" s="402">
        <v>1534.11</v>
      </c>
      <c r="N643" s="402">
        <v>4000</v>
      </c>
      <c r="O643" s="402">
        <v>0</v>
      </c>
      <c r="P643" s="402">
        <v>1534.11</v>
      </c>
      <c r="Q643" s="402">
        <v>0</v>
      </c>
      <c r="R643" s="402">
        <v>0</v>
      </c>
      <c r="S643" s="402">
        <v>0</v>
      </c>
      <c r="T643" s="402">
        <v>0</v>
      </c>
      <c r="U643" s="402">
        <v>0</v>
      </c>
      <c r="V643" s="402">
        <v>0</v>
      </c>
      <c r="W643" s="402">
        <v>0</v>
      </c>
      <c r="X643" s="402">
        <v>0</v>
      </c>
      <c r="Y643" s="402">
        <v>0</v>
      </c>
      <c r="Z643" s="402">
        <v>0</v>
      </c>
      <c r="AA643" s="402">
        <v>1534.11</v>
      </c>
    </row>
    <row r="644" spans="10:27" ht="15" customHeight="1" x14ac:dyDescent="0.25">
      <c r="J644" s="400" t="s">
        <v>336</v>
      </c>
      <c r="K644" s="408" t="s">
        <v>1553</v>
      </c>
      <c r="L644" s="402" t="s">
        <v>1554</v>
      </c>
      <c r="M644" s="402">
        <v>35587.5</v>
      </c>
      <c r="N644" s="402">
        <v>50000</v>
      </c>
      <c r="O644" s="402">
        <v>0</v>
      </c>
      <c r="P644" s="402">
        <v>0</v>
      </c>
      <c r="Q644" s="402">
        <v>412.5</v>
      </c>
      <c r="R644" s="402">
        <v>0</v>
      </c>
      <c r="S644" s="402">
        <v>0</v>
      </c>
      <c r="T644" s="402">
        <v>0</v>
      </c>
      <c r="U644" s="402">
        <v>35175</v>
      </c>
      <c r="V644" s="402">
        <v>0</v>
      </c>
      <c r="W644" s="402">
        <v>0</v>
      </c>
      <c r="X644" s="402">
        <v>0</v>
      </c>
      <c r="Y644" s="402">
        <v>0</v>
      </c>
      <c r="Z644" s="402">
        <v>0</v>
      </c>
      <c r="AA644" s="402">
        <v>35587.5</v>
      </c>
    </row>
    <row r="645" spans="10:27" ht="15" customHeight="1" x14ac:dyDescent="0.25">
      <c r="J645" s="400" t="s">
        <v>336</v>
      </c>
      <c r="K645" s="408" t="s">
        <v>1555</v>
      </c>
      <c r="L645" s="402" t="s">
        <v>1556</v>
      </c>
      <c r="M645" s="402">
        <v>0</v>
      </c>
      <c r="N645" s="402">
        <v>12000</v>
      </c>
      <c r="O645" s="402">
        <v>0</v>
      </c>
      <c r="P645" s="402">
        <v>0</v>
      </c>
      <c r="Q645" s="402">
        <v>0</v>
      </c>
      <c r="R645" s="402">
        <v>0</v>
      </c>
      <c r="S645" s="402">
        <v>0</v>
      </c>
      <c r="T645" s="402">
        <v>0</v>
      </c>
      <c r="U645" s="402">
        <v>0</v>
      </c>
      <c r="V645" s="402">
        <v>0</v>
      </c>
      <c r="W645" s="402">
        <v>0</v>
      </c>
      <c r="X645" s="402">
        <v>0</v>
      </c>
      <c r="Y645" s="402">
        <v>0</v>
      </c>
      <c r="Z645" s="402">
        <v>0</v>
      </c>
      <c r="AA645" s="402">
        <v>0</v>
      </c>
    </row>
    <row r="646" spans="10:27" ht="15" customHeight="1" x14ac:dyDescent="0.25">
      <c r="J646" s="400" t="s">
        <v>336</v>
      </c>
      <c r="K646" s="408" t="s">
        <v>1557</v>
      </c>
      <c r="L646" s="402" t="s">
        <v>1558</v>
      </c>
      <c r="M646" s="402">
        <v>-3139519.4182830998</v>
      </c>
      <c r="N646" s="402">
        <v>-5885835.5927823</v>
      </c>
      <c r="O646" s="402">
        <v>0</v>
      </c>
      <c r="P646" s="402">
        <v>0</v>
      </c>
      <c r="Q646" s="402">
        <v>0</v>
      </c>
      <c r="R646" s="402">
        <v>0</v>
      </c>
      <c r="S646" s="402">
        <v>0</v>
      </c>
      <c r="T646" s="402">
        <v>-707096.21</v>
      </c>
      <c r="U646" s="402">
        <v>0</v>
      </c>
      <c r="V646" s="402">
        <v>-474729.83070499997</v>
      </c>
      <c r="W646" s="402">
        <v>-445029.98738040001</v>
      </c>
      <c r="X646" s="402">
        <v>-452567.06687799998</v>
      </c>
      <c r="Y646" s="402">
        <v>-455776.5892166</v>
      </c>
      <c r="Z646" s="402">
        <v>-604319.73410310003</v>
      </c>
      <c r="AA646" s="402">
        <v>-3139519.4182830998</v>
      </c>
    </row>
    <row r="647" spans="10:27" ht="15" customHeight="1" x14ac:dyDescent="0.25">
      <c r="J647" s="400" t="s">
        <v>336</v>
      </c>
      <c r="K647" s="408" t="s">
        <v>1559</v>
      </c>
      <c r="L647" s="402" t="s">
        <v>1560</v>
      </c>
      <c r="M647" s="402">
        <v>-3545544.34</v>
      </c>
      <c r="N647" s="402">
        <v>0</v>
      </c>
      <c r="O647" s="402">
        <v>-453248.45</v>
      </c>
      <c r="P647" s="402">
        <v>-459735.46</v>
      </c>
      <c r="Q647" s="402">
        <v>-529892.54</v>
      </c>
      <c r="R647" s="402">
        <v>-477555.43</v>
      </c>
      <c r="S647" s="402">
        <v>-571256.02</v>
      </c>
      <c r="T647" s="402">
        <v>-547535.4</v>
      </c>
      <c r="U647" s="402">
        <v>-506321.04</v>
      </c>
      <c r="V647" s="402">
        <v>0</v>
      </c>
      <c r="W647" s="402">
        <v>0</v>
      </c>
      <c r="X647" s="402">
        <v>0</v>
      </c>
      <c r="Y647" s="402">
        <v>0</v>
      </c>
      <c r="Z647" s="402">
        <v>0</v>
      </c>
      <c r="AA647" s="402">
        <v>-3545544.34</v>
      </c>
    </row>
    <row r="648" spans="10:27" ht="15" customHeight="1" x14ac:dyDescent="0.25">
      <c r="J648" s="400" t="s">
        <v>336</v>
      </c>
      <c r="K648" s="408" t="s">
        <v>1561</v>
      </c>
      <c r="L648" s="402" t="s">
        <v>1562</v>
      </c>
      <c r="M648" s="402">
        <v>-478885.06</v>
      </c>
      <c r="N648" s="402">
        <v>0</v>
      </c>
      <c r="O648" s="402">
        <v>-71632.87</v>
      </c>
      <c r="P648" s="402">
        <v>-63157.55</v>
      </c>
      <c r="Q648" s="402">
        <v>-71168.820000000007</v>
      </c>
      <c r="R648" s="402">
        <v>-64609.54</v>
      </c>
      <c r="S648" s="402">
        <v>-76196.61</v>
      </c>
      <c r="T648" s="402">
        <v>-71683.179999999993</v>
      </c>
      <c r="U648" s="402">
        <v>-60436.49</v>
      </c>
      <c r="V648" s="402">
        <v>0</v>
      </c>
      <c r="W648" s="402">
        <v>0</v>
      </c>
      <c r="X648" s="402">
        <v>0</v>
      </c>
      <c r="Y648" s="402">
        <v>0</v>
      </c>
      <c r="Z648" s="402">
        <v>0</v>
      </c>
      <c r="AA648" s="402">
        <v>-478885.06</v>
      </c>
    </row>
    <row r="649" spans="10:27" ht="15" customHeight="1" x14ac:dyDescent="0.25">
      <c r="J649" s="400" t="s">
        <v>336</v>
      </c>
      <c r="K649" s="408" t="s">
        <v>1563</v>
      </c>
      <c r="L649" s="402" t="s">
        <v>1564</v>
      </c>
      <c r="M649" s="402">
        <v>29378006.666336399</v>
      </c>
      <c r="N649" s="402">
        <v>0</v>
      </c>
      <c r="O649" s="402">
        <v>0</v>
      </c>
      <c r="P649" s="402">
        <v>0</v>
      </c>
      <c r="Q649" s="402">
        <v>0</v>
      </c>
      <c r="R649" s="402">
        <v>0</v>
      </c>
      <c r="S649" s="402">
        <v>0</v>
      </c>
      <c r="T649" s="402">
        <v>0</v>
      </c>
      <c r="U649" s="402">
        <v>0</v>
      </c>
      <c r="V649" s="402">
        <v>6474150.6643620003</v>
      </c>
      <c r="W649" s="402">
        <v>6628226.128974</v>
      </c>
      <c r="X649" s="402">
        <v>6138591.4070915999</v>
      </c>
      <c r="Y649" s="402">
        <v>5212858.3765284</v>
      </c>
      <c r="Z649" s="402">
        <v>4924180.0893804003</v>
      </c>
      <c r="AA649" s="402">
        <v>29378006.666336399</v>
      </c>
    </row>
    <row r="650" spans="10:27" ht="15" customHeight="1" x14ac:dyDescent="0.25">
      <c r="J650" s="400" t="s">
        <v>336</v>
      </c>
      <c r="K650" s="408" t="s">
        <v>1565</v>
      </c>
      <c r="L650" s="402" t="s">
        <v>1566</v>
      </c>
      <c r="M650" s="402">
        <v>30939734.013250001</v>
      </c>
      <c r="N650" s="402">
        <v>0</v>
      </c>
      <c r="O650" s="402">
        <v>0</v>
      </c>
      <c r="P650" s="402">
        <v>0</v>
      </c>
      <c r="Q650" s="402">
        <v>0</v>
      </c>
      <c r="R650" s="402">
        <v>0</v>
      </c>
      <c r="S650" s="402">
        <v>0</v>
      </c>
      <c r="T650" s="402">
        <v>0</v>
      </c>
      <c r="U650" s="402">
        <v>0</v>
      </c>
      <c r="V650" s="402">
        <v>6884591.4712500004</v>
      </c>
      <c r="W650" s="402">
        <v>7051131.0037500001</v>
      </c>
      <c r="X650" s="402">
        <v>6486437.92925</v>
      </c>
      <c r="Y650" s="402">
        <v>5421495.1032499997</v>
      </c>
      <c r="Z650" s="402">
        <v>5096078.5057499995</v>
      </c>
      <c r="AA650" s="402">
        <v>30939734.013250001</v>
      </c>
    </row>
    <row r="651" spans="10:27" ht="15" customHeight="1" x14ac:dyDescent="0.25">
      <c r="J651" s="400" t="s">
        <v>336</v>
      </c>
      <c r="K651" s="408" t="s">
        <v>1567</v>
      </c>
      <c r="L651" s="402" t="s">
        <v>1568</v>
      </c>
      <c r="M651" s="402">
        <v>5810584.0241424004</v>
      </c>
      <c r="N651" s="402">
        <v>0</v>
      </c>
      <c r="O651" s="402">
        <v>0</v>
      </c>
      <c r="P651" s="402">
        <v>0</v>
      </c>
      <c r="Q651" s="402">
        <v>0</v>
      </c>
      <c r="R651" s="402">
        <v>0</v>
      </c>
      <c r="S651" s="402">
        <v>0</v>
      </c>
      <c r="T651" s="402">
        <v>0</v>
      </c>
      <c r="U651" s="402">
        <v>0</v>
      </c>
      <c r="V651" s="402">
        <v>1211186.2971987999</v>
      </c>
      <c r="W651" s="402">
        <v>1116461.3267341999</v>
      </c>
      <c r="X651" s="402">
        <v>1176428.1597803</v>
      </c>
      <c r="Y651" s="402">
        <v>1176145.3977492</v>
      </c>
      <c r="Z651" s="402">
        <v>1130362.8426798999</v>
      </c>
      <c r="AA651" s="402">
        <v>5810584.0241424004</v>
      </c>
    </row>
    <row r="652" spans="10:27" ht="15" customHeight="1" x14ac:dyDescent="0.25">
      <c r="J652" s="400" t="s">
        <v>336</v>
      </c>
      <c r="K652" s="408" t="s">
        <v>1569</v>
      </c>
      <c r="L652" s="402" t="s">
        <v>1570</v>
      </c>
      <c r="M652" s="402">
        <v>821983.25</v>
      </c>
      <c r="N652" s="402">
        <v>2672668</v>
      </c>
      <c r="O652" s="402">
        <v>0</v>
      </c>
      <c r="P652" s="402">
        <v>0</v>
      </c>
      <c r="Q652" s="402">
        <v>0</v>
      </c>
      <c r="R652" s="402">
        <v>0</v>
      </c>
      <c r="S652" s="402">
        <v>0</v>
      </c>
      <c r="T652" s="402">
        <v>0</v>
      </c>
      <c r="U652" s="402">
        <v>0</v>
      </c>
      <c r="V652" s="402">
        <v>164396.81</v>
      </c>
      <c r="W652" s="402">
        <v>164396.60999999999</v>
      </c>
      <c r="X652" s="402">
        <v>164396.60999999999</v>
      </c>
      <c r="Y652" s="402">
        <v>164396.60999999999</v>
      </c>
      <c r="Z652" s="402">
        <v>164396.60999999999</v>
      </c>
      <c r="AA652" s="402">
        <v>821983.25</v>
      </c>
    </row>
    <row r="653" spans="10:27" ht="15" customHeight="1" x14ac:dyDescent="0.25">
      <c r="J653" s="400" t="s">
        <v>336</v>
      </c>
      <c r="K653" s="408" t="s">
        <v>1571</v>
      </c>
      <c r="L653" s="402" t="s">
        <v>1572</v>
      </c>
      <c r="M653" s="402">
        <v>-412892.32595839998</v>
      </c>
      <c r="N653" s="402">
        <v>-711162.20209050004</v>
      </c>
      <c r="O653" s="402">
        <v>0</v>
      </c>
      <c r="P653" s="402">
        <v>0</v>
      </c>
      <c r="Q653" s="402">
        <v>0</v>
      </c>
      <c r="R653" s="402">
        <v>0</v>
      </c>
      <c r="S653" s="402">
        <v>0</v>
      </c>
      <c r="T653" s="402">
        <v>0</v>
      </c>
      <c r="U653" s="402">
        <v>0</v>
      </c>
      <c r="V653" s="402">
        <v>-167489.80819859999</v>
      </c>
      <c r="W653" s="402">
        <v>-124986.29505070001</v>
      </c>
      <c r="X653" s="402">
        <v>-172186.76765679999</v>
      </c>
      <c r="Y653" s="402">
        <v>-162477.37491720001</v>
      </c>
      <c r="Z653" s="402">
        <v>214247.9198649</v>
      </c>
      <c r="AA653" s="402">
        <v>-412892.32595839998</v>
      </c>
    </row>
    <row r="654" spans="10:27" ht="15" customHeight="1" x14ac:dyDescent="0.25">
      <c r="J654" s="400" t="s">
        <v>336</v>
      </c>
      <c r="K654" s="408" t="s">
        <v>1573</v>
      </c>
      <c r="L654" s="402" t="s">
        <v>1574</v>
      </c>
      <c r="M654" s="402">
        <v>33035000</v>
      </c>
      <c r="N654" s="402">
        <v>0</v>
      </c>
      <c r="O654" s="402">
        <v>0</v>
      </c>
      <c r="P654" s="402">
        <v>0</v>
      </c>
      <c r="Q654" s="402">
        <v>0</v>
      </c>
      <c r="R654" s="402">
        <v>0</v>
      </c>
      <c r="S654" s="402">
        <v>0</v>
      </c>
      <c r="T654" s="402">
        <v>0</v>
      </c>
      <c r="U654" s="402">
        <v>0</v>
      </c>
      <c r="V654" s="402">
        <v>6607000</v>
      </c>
      <c r="W654" s="402">
        <v>6607000</v>
      </c>
      <c r="X654" s="402">
        <v>6607000</v>
      </c>
      <c r="Y654" s="402">
        <v>6607000</v>
      </c>
      <c r="Z654" s="402">
        <v>6607000</v>
      </c>
      <c r="AA654" s="402">
        <v>33035000</v>
      </c>
    </row>
    <row r="655" spans="10:27" ht="15" customHeight="1" x14ac:dyDescent="0.25">
      <c r="J655" s="400" t="s">
        <v>336</v>
      </c>
      <c r="K655" s="408" t="s">
        <v>1575</v>
      </c>
      <c r="L655" s="402" t="s">
        <v>1576</v>
      </c>
      <c r="M655" s="402">
        <v>45000</v>
      </c>
      <c r="N655" s="402">
        <v>0</v>
      </c>
      <c r="O655" s="402">
        <v>0</v>
      </c>
      <c r="P655" s="402">
        <v>0</v>
      </c>
      <c r="Q655" s="402">
        <v>0</v>
      </c>
      <c r="R655" s="402">
        <v>0</v>
      </c>
      <c r="S655" s="402">
        <v>0</v>
      </c>
      <c r="T655" s="402">
        <v>0</v>
      </c>
      <c r="U655" s="402">
        <v>0</v>
      </c>
      <c r="V655" s="402">
        <v>9000</v>
      </c>
      <c r="W655" s="402">
        <v>9000</v>
      </c>
      <c r="X655" s="402">
        <v>9000</v>
      </c>
      <c r="Y655" s="402">
        <v>9000</v>
      </c>
      <c r="Z655" s="402">
        <v>9000</v>
      </c>
      <c r="AA655" s="402">
        <v>45000</v>
      </c>
    </row>
    <row r="656" spans="10:27" ht="15" customHeight="1" x14ac:dyDescent="0.25">
      <c r="J656" s="400" t="s">
        <v>336</v>
      </c>
      <c r="K656" s="408" t="s">
        <v>1577</v>
      </c>
      <c r="L656" s="402" t="s">
        <v>1578</v>
      </c>
      <c r="M656" s="402">
        <v>904709.6400744</v>
      </c>
      <c r="N656" s="402">
        <v>0</v>
      </c>
      <c r="O656" s="402">
        <v>0</v>
      </c>
      <c r="P656" s="402">
        <v>0</v>
      </c>
      <c r="Q656" s="402">
        <v>0</v>
      </c>
      <c r="R656" s="402">
        <v>0</v>
      </c>
      <c r="S656" s="402">
        <v>0</v>
      </c>
      <c r="T656" s="402">
        <v>0</v>
      </c>
      <c r="U656" s="402">
        <v>0</v>
      </c>
      <c r="V656" s="402">
        <v>200711.27738879999</v>
      </c>
      <c r="W656" s="402">
        <v>205366.06024560001</v>
      </c>
      <c r="X656" s="402">
        <v>189351.1869264</v>
      </c>
      <c r="Y656" s="402">
        <v>159107.569992</v>
      </c>
      <c r="Z656" s="402">
        <v>150173.5455216</v>
      </c>
      <c r="AA656" s="402">
        <v>904709.6400744</v>
      </c>
    </row>
    <row r="657" spans="10:27" ht="15" customHeight="1" x14ac:dyDescent="0.25">
      <c r="J657" s="400" t="s">
        <v>336</v>
      </c>
      <c r="K657" s="408" t="s">
        <v>1579</v>
      </c>
      <c r="L657" s="402" t="s">
        <v>1580</v>
      </c>
      <c r="M657" s="402">
        <v>100000</v>
      </c>
      <c r="N657" s="402">
        <v>0</v>
      </c>
      <c r="O657" s="402">
        <v>0</v>
      </c>
      <c r="P657" s="402">
        <v>0</v>
      </c>
      <c r="Q657" s="402">
        <v>0</v>
      </c>
      <c r="R657" s="402">
        <v>0</v>
      </c>
      <c r="S657" s="402">
        <v>0</v>
      </c>
      <c r="T657" s="402">
        <v>0</v>
      </c>
      <c r="U657" s="402">
        <v>0</v>
      </c>
      <c r="V657" s="402">
        <v>20000</v>
      </c>
      <c r="W657" s="402">
        <v>20000</v>
      </c>
      <c r="X657" s="402">
        <v>20000</v>
      </c>
      <c r="Y657" s="402">
        <v>20000</v>
      </c>
      <c r="Z657" s="402">
        <v>20000</v>
      </c>
      <c r="AA657" s="402">
        <v>100000</v>
      </c>
    </row>
    <row r="658" spans="10:27" ht="15" customHeight="1" x14ac:dyDescent="0.25">
      <c r="J658" s="400" t="s">
        <v>336</v>
      </c>
      <c r="K658" s="408" t="s">
        <v>1581</v>
      </c>
      <c r="L658" s="402" t="s">
        <v>1582</v>
      </c>
      <c r="M658" s="402">
        <v>16000</v>
      </c>
      <c r="N658" s="402">
        <v>0</v>
      </c>
      <c r="O658" s="402">
        <v>0</v>
      </c>
      <c r="P658" s="402">
        <v>0</v>
      </c>
      <c r="Q658" s="402">
        <v>0</v>
      </c>
      <c r="R658" s="402">
        <v>0</v>
      </c>
      <c r="S658" s="402">
        <v>0</v>
      </c>
      <c r="T658" s="402">
        <v>0</v>
      </c>
      <c r="U658" s="402">
        <v>0</v>
      </c>
      <c r="V658" s="402">
        <v>15000</v>
      </c>
      <c r="W658" s="402">
        <v>0</v>
      </c>
      <c r="X658" s="402">
        <v>0</v>
      </c>
      <c r="Y658" s="402">
        <v>1000</v>
      </c>
      <c r="Z658" s="402">
        <v>0</v>
      </c>
      <c r="AA658" s="402">
        <v>16000</v>
      </c>
    </row>
    <row r="659" spans="10:27" ht="15" customHeight="1" x14ac:dyDescent="0.25">
      <c r="J659" s="400" t="s">
        <v>336</v>
      </c>
      <c r="K659" s="408" t="s">
        <v>1583</v>
      </c>
      <c r="L659" s="402" t="s">
        <v>1584</v>
      </c>
      <c r="M659" s="402">
        <v>12000</v>
      </c>
      <c r="N659" s="402">
        <v>0</v>
      </c>
      <c r="O659" s="402">
        <v>0</v>
      </c>
      <c r="P659" s="402">
        <v>0</v>
      </c>
      <c r="Q659" s="402">
        <v>0</v>
      </c>
      <c r="R659" s="402">
        <v>0</v>
      </c>
      <c r="S659" s="402">
        <v>0</v>
      </c>
      <c r="T659" s="402">
        <v>0</v>
      </c>
      <c r="U659" s="402">
        <v>0</v>
      </c>
      <c r="V659" s="402">
        <v>0</v>
      </c>
      <c r="W659" s="402">
        <v>12000</v>
      </c>
      <c r="X659" s="402">
        <v>0</v>
      </c>
      <c r="Y659" s="402">
        <v>0</v>
      </c>
      <c r="Z659" s="402">
        <v>0</v>
      </c>
      <c r="AA659" s="402">
        <v>12000</v>
      </c>
    </row>
    <row r="660" spans="10:27" ht="15" customHeight="1" x14ac:dyDescent="0.2">
      <c r="J660" s="392" t="s">
        <v>336</v>
      </c>
      <c r="K660" s="395" t="s">
        <v>1585</v>
      </c>
      <c r="L660" s="392" t="s">
        <v>1586</v>
      </c>
      <c r="M660" s="393">
        <v>86307456.656133607</v>
      </c>
      <c r="N660" s="393">
        <v>71686799.515616506</v>
      </c>
      <c r="O660" s="393">
        <v>6839463.1699999999</v>
      </c>
      <c r="P660" s="393">
        <v>6967804.6399999997</v>
      </c>
      <c r="Q660" s="393">
        <v>7206097.7199999997</v>
      </c>
      <c r="R660" s="393">
        <v>7388647.4100000001</v>
      </c>
      <c r="S660" s="393">
        <v>8438739.5099999998</v>
      </c>
      <c r="T660" s="393">
        <v>7583498.5300000003</v>
      </c>
      <c r="U660" s="393">
        <v>7717994.9199999999</v>
      </c>
      <c r="V660" s="393">
        <v>7757688.2719134996</v>
      </c>
      <c r="W660" s="393">
        <v>7813248.4749068003</v>
      </c>
      <c r="X660" s="393">
        <v>7426195.0257000001</v>
      </c>
      <c r="Y660" s="393">
        <v>7632035.4736133004</v>
      </c>
      <c r="Z660" s="393">
        <v>3536043.51</v>
      </c>
      <c r="AA660" s="393">
        <v>86307456.656133607</v>
      </c>
    </row>
    <row r="661" spans="10:27" ht="15" customHeight="1" x14ac:dyDescent="0.2">
      <c r="J661" s="392" t="s">
        <v>336</v>
      </c>
      <c r="K661" s="396" t="s">
        <v>1587</v>
      </c>
      <c r="L661" s="392" t="s">
        <v>1588</v>
      </c>
      <c r="M661" s="393">
        <v>19115544.780000001</v>
      </c>
      <c r="N661" s="393">
        <v>18116563.52</v>
      </c>
      <c r="O661" s="393">
        <v>996048.69</v>
      </c>
      <c r="P661" s="393">
        <v>1061893.3500000001</v>
      </c>
      <c r="Q661" s="393">
        <v>1138225.8</v>
      </c>
      <c r="R661" s="393">
        <v>1262349.8799999999</v>
      </c>
      <c r="S661" s="393">
        <v>1378224.42</v>
      </c>
      <c r="T661" s="393">
        <v>1511920.13</v>
      </c>
      <c r="U661" s="393">
        <v>1673165.29</v>
      </c>
      <c r="V661" s="393">
        <v>1834527.09</v>
      </c>
      <c r="W661" s="393">
        <v>1975204.96</v>
      </c>
      <c r="X661" s="393">
        <v>2135132.4500000002</v>
      </c>
      <c r="Y661" s="393">
        <v>2288163.06</v>
      </c>
      <c r="Z661" s="393">
        <v>1860689.66</v>
      </c>
      <c r="AA661" s="393">
        <v>19115544.780000001</v>
      </c>
    </row>
    <row r="662" spans="10:27" ht="15" customHeight="1" x14ac:dyDescent="0.25">
      <c r="J662" s="400" t="s">
        <v>336</v>
      </c>
      <c r="K662" s="409" t="s">
        <v>1589</v>
      </c>
      <c r="L662" s="402" t="s">
        <v>1590</v>
      </c>
      <c r="M662" s="402">
        <v>19115544.780000001</v>
      </c>
      <c r="N662" s="402">
        <v>18116563.52</v>
      </c>
      <c r="O662" s="402">
        <v>996048.69</v>
      </c>
      <c r="P662" s="402">
        <v>1061893.3500000001</v>
      </c>
      <c r="Q662" s="402">
        <v>1138225.8</v>
      </c>
      <c r="R662" s="402">
        <v>1262349.8799999999</v>
      </c>
      <c r="S662" s="402">
        <v>1378224.42</v>
      </c>
      <c r="T662" s="402">
        <v>1511920.13</v>
      </c>
      <c r="U662" s="402">
        <v>1673165.29</v>
      </c>
      <c r="V662" s="402">
        <v>1834527.09</v>
      </c>
      <c r="W662" s="402">
        <v>1975204.96</v>
      </c>
      <c r="X662" s="402">
        <v>2135132.4500000002</v>
      </c>
      <c r="Y662" s="402">
        <v>2288163.06</v>
      </c>
      <c r="Z662" s="402">
        <v>1860689.66</v>
      </c>
      <c r="AA662" s="402">
        <v>19115544.780000001</v>
      </c>
    </row>
    <row r="663" spans="10:27" ht="15" customHeight="1" x14ac:dyDescent="0.2">
      <c r="J663" s="392" t="s">
        <v>336</v>
      </c>
      <c r="K663" s="396" t="s">
        <v>1591</v>
      </c>
      <c r="L663" s="392" t="s">
        <v>1592</v>
      </c>
      <c r="M663" s="393">
        <v>67191911.876133606</v>
      </c>
      <c r="N663" s="393">
        <v>53570235.995616503</v>
      </c>
      <c r="O663" s="393">
        <v>5843414.4800000004</v>
      </c>
      <c r="P663" s="393">
        <v>5905911.29</v>
      </c>
      <c r="Q663" s="393">
        <v>6067871.9199999999</v>
      </c>
      <c r="R663" s="393">
        <v>6126297.5300000003</v>
      </c>
      <c r="S663" s="393">
        <v>7060515.0899999999</v>
      </c>
      <c r="T663" s="393">
        <v>6071578.4000000004</v>
      </c>
      <c r="U663" s="393">
        <v>6044829.6299999999</v>
      </c>
      <c r="V663" s="393">
        <v>5923161.1819134997</v>
      </c>
      <c r="W663" s="393">
        <v>5838043.5149068004</v>
      </c>
      <c r="X663" s="393">
        <v>5291062.5756999999</v>
      </c>
      <c r="Y663" s="393">
        <v>5343872.4136132998</v>
      </c>
      <c r="Z663" s="393">
        <v>1675353.85</v>
      </c>
      <c r="AA663" s="393">
        <v>67191911.876133606</v>
      </c>
    </row>
    <row r="664" spans="10:27" ht="15" customHeight="1" x14ac:dyDescent="0.2">
      <c r="J664" s="392" t="s">
        <v>336</v>
      </c>
      <c r="K664" s="397" t="s">
        <v>1593</v>
      </c>
      <c r="L664" s="392" t="s">
        <v>1594</v>
      </c>
      <c r="M664" s="393">
        <v>31888024.182027001</v>
      </c>
      <c r="N664" s="393">
        <v>36773219.780513197</v>
      </c>
      <c r="O664" s="393">
        <v>3113337.65</v>
      </c>
      <c r="P664" s="393">
        <v>3173700.14</v>
      </c>
      <c r="Q664" s="393">
        <v>3075759.79</v>
      </c>
      <c r="R664" s="393">
        <v>3039750.91</v>
      </c>
      <c r="S664" s="393">
        <v>3827783.36</v>
      </c>
      <c r="T664" s="393">
        <v>2830350.68</v>
      </c>
      <c r="U664" s="393">
        <v>2638478.06</v>
      </c>
      <c r="V664" s="393">
        <v>2517716.5360134998</v>
      </c>
      <c r="W664" s="393">
        <v>2413349.5360134998</v>
      </c>
      <c r="X664" s="393">
        <v>1813135.86</v>
      </c>
      <c r="Y664" s="393">
        <v>1853226.86</v>
      </c>
      <c r="Z664" s="393">
        <v>1591434.8</v>
      </c>
      <c r="AA664" s="393">
        <v>31888024.182027001</v>
      </c>
    </row>
    <row r="665" spans="10:27" ht="15" customHeight="1" x14ac:dyDescent="0.25">
      <c r="J665" s="400" t="s">
        <v>336</v>
      </c>
      <c r="K665" s="408" t="s">
        <v>1595</v>
      </c>
      <c r="L665" s="402" t="s">
        <v>1596</v>
      </c>
      <c r="M665" s="402">
        <v>12086483</v>
      </c>
      <c r="N665" s="402">
        <v>16812293</v>
      </c>
      <c r="O665" s="402">
        <v>1906385</v>
      </c>
      <c r="P665" s="402">
        <v>1895060</v>
      </c>
      <c r="Q665" s="402">
        <v>1864074</v>
      </c>
      <c r="R665" s="402">
        <v>1789487</v>
      </c>
      <c r="S665" s="402">
        <v>1689853</v>
      </c>
      <c r="T665" s="402">
        <v>1557631</v>
      </c>
      <c r="U665" s="402">
        <v>1383993</v>
      </c>
      <c r="V665" s="402">
        <v>0</v>
      </c>
      <c r="W665" s="402">
        <v>0</v>
      </c>
      <c r="X665" s="402">
        <v>0</v>
      </c>
      <c r="Y665" s="402">
        <v>0</v>
      </c>
      <c r="Z665" s="402">
        <v>0</v>
      </c>
      <c r="AA665" s="402">
        <v>12086483</v>
      </c>
    </row>
    <row r="666" spans="10:27" ht="15" customHeight="1" x14ac:dyDescent="0.25">
      <c r="J666" s="400" t="s">
        <v>336</v>
      </c>
      <c r="K666" s="408" t="s">
        <v>1597</v>
      </c>
      <c r="L666" s="402" t="s">
        <v>1598</v>
      </c>
      <c r="M666" s="402">
        <v>102300</v>
      </c>
      <c r="N666" s="402">
        <v>0</v>
      </c>
      <c r="O666" s="402">
        <v>0</v>
      </c>
      <c r="P666" s="402">
        <v>5419</v>
      </c>
      <c r="Q666" s="402">
        <v>10729</v>
      </c>
      <c r="R666" s="402">
        <v>15636</v>
      </c>
      <c r="S666" s="402">
        <v>21001</v>
      </c>
      <c r="T666" s="402">
        <v>23757</v>
      </c>
      <c r="U666" s="402">
        <v>25758</v>
      </c>
      <c r="V666" s="402">
        <v>0</v>
      </c>
      <c r="W666" s="402">
        <v>0</v>
      </c>
      <c r="X666" s="402">
        <v>0</v>
      </c>
      <c r="Y666" s="402">
        <v>0</v>
      </c>
      <c r="Z666" s="402">
        <v>0</v>
      </c>
      <c r="AA666" s="402">
        <v>102300</v>
      </c>
    </row>
    <row r="667" spans="10:27" ht="15" customHeight="1" x14ac:dyDescent="0.25">
      <c r="J667" s="400" t="s">
        <v>336</v>
      </c>
      <c r="K667" s="408" t="s">
        <v>1599</v>
      </c>
      <c r="L667" s="402" t="s">
        <v>1600</v>
      </c>
      <c r="M667" s="402">
        <v>2360748.79</v>
      </c>
      <c r="N667" s="402">
        <v>0</v>
      </c>
      <c r="O667" s="402">
        <v>328447.42</v>
      </c>
      <c r="P667" s="402">
        <v>314208.45</v>
      </c>
      <c r="Q667" s="402">
        <v>326114.44</v>
      </c>
      <c r="R667" s="402">
        <v>313085.64</v>
      </c>
      <c r="S667" s="402">
        <v>350797.43</v>
      </c>
      <c r="T667" s="402">
        <v>380474.32</v>
      </c>
      <c r="U667" s="402">
        <v>347621.09</v>
      </c>
      <c r="V667" s="402">
        <v>0</v>
      </c>
      <c r="W667" s="402">
        <v>0</v>
      </c>
      <c r="X667" s="402">
        <v>0</v>
      </c>
      <c r="Y667" s="402">
        <v>0</v>
      </c>
      <c r="Z667" s="402">
        <v>0</v>
      </c>
      <c r="AA667" s="402">
        <v>2360748.79</v>
      </c>
    </row>
    <row r="668" spans="10:27" ht="15" customHeight="1" x14ac:dyDescent="0.25">
      <c r="J668" s="400" t="s">
        <v>336</v>
      </c>
      <c r="K668" s="408" t="s">
        <v>1601</v>
      </c>
      <c r="L668" s="402" t="s">
        <v>1602</v>
      </c>
      <c r="M668" s="402">
        <v>-9021827.5600000005</v>
      </c>
      <c r="N668" s="402">
        <v>0</v>
      </c>
      <c r="O668" s="402">
        <v>-996048.69</v>
      </c>
      <c r="P668" s="402">
        <v>-1061893.3500000001</v>
      </c>
      <c r="Q668" s="402">
        <v>-1138225.8</v>
      </c>
      <c r="R668" s="402">
        <v>-1262349.8799999999</v>
      </c>
      <c r="S668" s="402">
        <v>-1378224.42</v>
      </c>
      <c r="T668" s="402">
        <v>-1511920.13</v>
      </c>
      <c r="U668" s="402">
        <v>-1673165.29</v>
      </c>
      <c r="V668" s="402">
        <v>0</v>
      </c>
      <c r="W668" s="402">
        <v>0</v>
      </c>
      <c r="X668" s="402">
        <v>0</v>
      </c>
      <c r="Y668" s="402">
        <v>0</v>
      </c>
      <c r="Z668" s="402">
        <v>0</v>
      </c>
      <c r="AA668" s="402">
        <v>-9021827.5600000005</v>
      </c>
    </row>
    <row r="669" spans="10:27" ht="15" customHeight="1" x14ac:dyDescent="0.25">
      <c r="J669" s="400" t="s">
        <v>336</v>
      </c>
      <c r="K669" s="408" t="s">
        <v>1603</v>
      </c>
      <c r="L669" s="402" t="s">
        <v>1604</v>
      </c>
      <c r="M669" s="402">
        <v>-38653.279999999999</v>
      </c>
      <c r="N669" s="402">
        <v>7212665.4405132001</v>
      </c>
      <c r="O669" s="402">
        <v>-5566.04</v>
      </c>
      <c r="P669" s="402">
        <v>-5569.54</v>
      </c>
      <c r="Q669" s="402">
        <v>-5568.54</v>
      </c>
      <c r="R669" s="402">
        <v>-5572.04</v>
      </c>
      <c r="S669" s="402">
        <v>-5278.54</v>
      </c>
      <c r="T669" s="402">
        <v>-5526.04</v>
      </c>
      <c r="U669" s="402">
        <v>-5572.54</v>
      </c>
      <c r="V669" s="402">
        <v>0</v>
      </c>
      <c r="W669" s="402">
        <v>0</v>
      </c>
      <c r="X669" s="402">
        <v>0</v>
      </c>
      <c r="Y669" s="402">
        <v>0</v>
      </c>
      <c r="Z669" s="402">
        <v>0</v>
      </c>
      <c r="AA669" s="402">
        <v>-38653.279999999999</v>
      </c>
    </row>
    <row r="670" spans="10:27" ht="15" customHeight="1" x14ac:dyDescent="0.25">
      <c r="J670" s="400" t="s">
        <v>336</v>
      </c>
      <c r="K670" s="408" t="s">
        <v>1605</v>
      </c>
      <c r="L670" s="402" t="s">
        <v>1606</v>
      </c>
      <c r="M670" s="402">
        <v>33921.760000000002</v>
      </c>
      <c r="N670" s="402">
        <v>0</v>
      </c>
      <c r="O670" s="402">
        <v>0</v>
      </c>
      <c r="P670" s="402">
        <v>11145.78</v>
      </c>
      <c r="Q670" s="402">
        <v>17082.29</v>
      </c>
      <c r="R670" s="402">
        <v>0</v>
      </c>
      <c r="S670" s="402">
        <v>5693.69</v>
      </c>
      <c r="T670" s="402">
        <v>0</v>
      </c>
      <c r="U670" s="402">
        <v>0</v>
      </c>
      <c r="V670" s="402">
        <v>0</v>
      </c>
      <c r="W670" s="402">
        <v>0</v>
      </c>
      <c r="X670" s="402">
        <v>0</v>
      </c>
      <c r="Y670" s="402">
        <v>0</v>
      </c>
      <c r="Z670" s="402">
        <v>0</v>
      </c>
      <c r="AA670" s="402">
        <v>33921.760000000002</v>
      </c>
    </row>
    <row r="671" spans="10:27" ht="15" customHeight="1" x14ac:dyDescent="0.25">
      <c r="J671" s="400" t="s">
        <v>336</v>
      </c>
      <c r="K671" s="408" t="s">
        <v>1607</v>
      </c>
      <c r="L671" s="402" t="s">
        <v>1608</v>
      </c>
      <c r="M671" s="402">
        <v>0.02</v>
      </c>
      <c r="N671" s="402">
        <v>0</v>
      </c>
      <c r="O671" s="402">
        <v>0</v>
      </c>
      <c r="P671" s="402">
        <v>12434.88</v>
      </c>
      <c r="Q671" s="402">
        <v>-12434.88</v>
      </c>
      <c r="R671" s="402">
        <v>8963.67</v>
      </c>
      <c r="S671" s="402">
        <v>-1254.1300000000001</v>
      </c>
      <c r="T671" s="402">
        <v>0</v>
      </c>
      <c r="U671" s="402">
        <v>-7709.52</v>
      </c>
      <c r="V671" s="402">
        <v>0</v>
      </c>
      <c r="W671" s="402">
        <v>0</v>
      </c>
      <c r="X671" s="402">
        <v>0</v>
      </c>
      <c r="Y671" s="402">
        <v>0</v>
      </c>
      <c r="Z671" s="402">
        <v>0</v>
      </c>
      <c r="AA671" s="402">
        <v>0.02</v>
      </c>
    </row>
    <row r="672" spans="10:27" ht="15" customHeight="1" x14ac:dyDescent="0.25">
      <c r="J672" s="400" t="s">
        <v>336</v>
      </c>
      <c r="K672" s="408" t="s">
        <v>1609</v>
      </c>
      <c r="L672" s="402" t="s">
        <v>1610</v>
      </c>
      <c r="M672" s="402">
        <v>434853.42</v>
      </c>
      <c r="N672" s="402">
        <v>0</v>
      </c>
      <c r="O672" s="402">
        <v>62790.79</v>
      </c>
      <c r="P672" s="402">
        <v>62741.22</v>
      </c>
      <c r="Q672" s="402">
        <v>59948.31</v>
      </c>
      <c r="R672" s="402">
        <v>62681.55</v>
      </c>
      <c r="S672" s="402">
        <v>62257.86</v>
      </c>
      <c r="T672" s="402">
        <v>61956.52</v>
      </c>
      <c r="U672" s="402">
        <v>62477.17</v>
      </c>
      <c r="V672" s="402">
        <v>0</v>
      </c>
      <c r="W672" s="402">
        <v>0</v>
      </c>
      <c r="X672" s="402">
        <v>0</v>
      </c>
      <c r="Y672" s="402">
        <v>0</v>
      </c>
      <c r="Z672" s="402">
        <v>0</v>
      </c>
      <c r="AA672" s="402">
        <v>434853.42</v>
      </c>
    </row>
    <row r="673" spans="10:27" ht="15" customHeight="1" x14ac:dyDescent="0.25">
      <c r="J673" s="400" t="s">
        <v>336</v>
      </c>
      <c r="K673" s="408" t="s">
        <v>1611</v>
      </c>
      <c r="L673" s="402" t="s">
        <v>1612</v>
      </c>
      <c r="M673" s="402">
        <v>3036193.7</v>
      </c>
      <c r="N673" s="402">
        <v>0</v>
      </c>
      <c r="O673" s="402">
        <v>427353.46</v>
      </c>
      <c r="P673" s="402">
        <v>433707.85</v>
      </c>
      <c r="Q673" s="402">
        <v>424588.84</v>
      </c>
      <c r="R673" s="402">
        <v>422433.46</v>
      </c>
      <c r="S673" s="402">
        <v>475877.33</v>
      </c>
      <c r="T673" s="402">
        <v>425705.93</v>
      </c>
      <c r="U673" s="402">
        <v>426526.83</v>
      </c>
      <c r="V673" s="402">
        <v>0</v>
      </c>
      <c r="W673" s="402">
        <v>0</v>
      </c>
      <c r="X673" s="402">
        <v>0</v>
      </c>
      <c r="Y673" s="402">
        <v>0</v>
      </c>
      <c r="Z673" s="402">
        <v>0</v>
      </c>
      <c r="AA673" s="402">
        <v>3036193.7</v>
      </c>
    </row>
    <row r="674" spans="10:27" ht="15" customHeight="1" x14ac:dyDescent="0.25">
      <c r="J674" s="400" t="s">
        <v>336</v>
      </c>
      <c r="K674" s="408" t="s">
        <v>1613</v>
      </c>
      <c r="L674" s="402" t="s">
        <v>1614</v>
      </c>
      <c r="M674" s="402">
        <v>11659296.77</v>
      </c>
      <c r="N674" s="402">
        <v>0</v>
      </c>
      <c r="O674" s="402">
        <v>1183996.07</v>
      </c>
      <c r="P674" s="402">
        <v>1480871.43</v>
      </c>
      <c r="Q674" s="402">
        <v>2192749.73</v>
      </c>
      <c r="R674" s="402">
        <v>1491647.58</v>
      </c>
      <c r="S674" s="402">
        <v>1683269.34</v>
      </c>
      <c r="T674" s="402">
        <v>2151025.06</v>
      </c>
      <c r="U674" s="402">
        <v>1475737.56</v>
      </c>
      <c r="V674" s="402">
        <v>0</v>
      </c>
      <c r="W674" s="402">
        <v>0</v>
      </c>
      <c r="X674" s="402">
        <v>0</v>
      </c>
      <c r="Y674" s="402">
        <v>0</v>
      </c>
      <c r="Z674" s="402">
        <v>0</v>
      </c>
      <c r="AA674" s="402">
        <v>11659296.77</v>
      </c>
    </row>
    <row r="675" spans="10:27" ht="15" customHeight="1" x14ac:dyDescent="0.25">
      <c r="J675" s="400" t="s">
        <v>336</v>
      </c>
      <c r="K675" s="408" t="s">
        <v>1615</v>
      </c>
      <c r="L675" s="402" t="s">
        <v>1616</v>
      </c>
      <c r="M675" s="402">
        <v>-2629773.3199999998</v>
      </c>
      <c r="N675" s="402">
        <v>0</v>
      </c>
      <c r="O675" s="402">
        <v>-187947.38</v>
      </c>
      <c r="P675" s="402">
        <v>-418978.08</v>
      </c>
      <c r="Q675" s="402">
        <v>-1054039.93</v>
      </c>
      <c r="R675" s="402">
        <v>-228886.41</v>
      </c>
      <c r="S675" s="402">
        <v>-302501.33</v>
      </c>
      <c r="T675" s="402">
        <v>-638095.74</v>
      </c>
      <c r="U675" s="402">
        <v>200675.55</v>
      </c>
      <c r="V675" s="402">
        <v>0</v>
      </c>
      <c r="W675" s="402">
        <v>0</v>
      </c>
      <c r="X675" s="402">
        <v>0</v>
      </c>
      <c r="Y675" s="402">
        <v>0</v>
      </c>
      <c r="Z675" s="402">
        <v>0</v>
      </c>
      <c r="AA675" s="402">
        <v>-2629773.3199999998</v>
      </c>
    </row>
    <row r="676" spans="10:27" ht="15" customHeight="1" x14ac:dyDescent="0.25">
      <c r="J676" s="400" t="s">
        <v>336</v>
      </c>
      <c r="K676" s="408" t="s">
        <v>1617</v>
      </c>
      <c r="L676" s="402" t="s">
        <v>1618</v>
      </c>
      <c r="M676" s="402">
        <v>118670.28</v>
      </c>
      <c r="N676" s="402">
        <v>0</v>
      </c>
      <c r="O676" s="402">
        <v>32036.19</v>
      </c>
      <c r="P676" s="402">
        <v>0</v>
      </c>
      <c r="Q676" s="402">
        <v>13883.87</v>
      </c>
      <c r="R676" s="402">
        <v>20518.150000000001</v>
      </c>
      <c r="S676" s="402">
        <v>0</v>
      </c>
      <c r="T676" s="402">
        <v>3703.51</v>
      </c>
      <c r="U676" s="402">
        <v>48528.56</v>
      </c>
      <c r="V676" s="402">
        <v>0</v>
      </c>
      <c r="W676" s="402">
        <v>0</v>
      </c>
      <c r="X676" s="402">
        <v>0</v>
      </c>
      <c r="Y676" s="402">
        <v>0</v>
      </c>
      <c r="Z676" s="402">
        <v>0</v>
      </c>
      <c r="AA676" s="402">
        <v>118670.28</v>
      </c>
    </row>
    <row r="677" spans="10:27" ht="15" customHeight="1" x14ac:dyDescent="0.25">
      <c r="J677" s="400" t="s">
        <v>336</v>
      </c>
      <c r="K677" s="408" t="s">
        <v>1619</v>
      </c>
      <c r="L677" s="402" t="s">
        <v>1620</v>
      </c>
      <c r="M677" s="402">
        <v>10328.64</v>
      </c>
      <c r="N677" s="402">
        <v>0</v>
      </c>
      <c r="O677" s="402">
        <v>2910.65</v>
      </c>
      <c r="P677" s="402">
        <v>-9358</v>
      </c>
      <c r="Q677" s="402">
        <v>23351.82</v>
      </c>
      <c r="R677" s="402">
        <v>-23384.02</v>
      </c>
      <c r="S677" s="402">
        <v>-2210.77</v>
      </c>
      <c r="T677" s="402">
        <v>40359.919999999998</v>
      </c>
      <c r="U677" s="402">
        <v>-21340.959999999999</v>
      </c>
      <c r="V677" s="402">
        <v>0</v>
      </c>
      <c r="W677" s="402">
        <v>0</v>
      </c>
      <c r="X677" s="402">
        <v>0</v>
      </c>
      <c r="Y677" s="402">
        <v>0</v>
      </c>
      <c r="Z677" s="402">
        <v>0</v>
      </c>
      <c r="AA677" s="402">
        <v>10328.64</v>
      </c>
    </row>
    <row r="678" spans="10:27" ht="15" customHeight="1" x14ac:dyDescent="0.25">
      <c r="J678" s="400" t="s">
        <v>336</v>
      </c>
      <c r="K678" s="408" t="s">
        <v>1621</v>
      </c>
      <c r="L678" s="402" t="s">
        <v>1622</v>
      </c>
      <c r="M678" s="402">
        <v>160.69999999999999</v>
      </c>
      <c r="N678" s="402">
        <v>0</v>
      </c>
      <c r="O678" s="402">
        <v>0</v>
      </c>
      <c r="P678" s="402">
        <v>25.27</v>
      </c>
      <c r="Q678" s="402">
        <v>0</v>
      </c>
      <c r="R678" s="402">
        <v>-2.33</v>
      </c>
      <c r="S678" s="402">
        <v>42</v>
      </c>
      <c r="T678" s="402">
        <v>0</v>
      </c>
      <c r="U678" s="402">
        <v>95.76</v>
      </c>
      <c r="V678" s="402">
        <v>0</v>
      </c>
      <c r="W678" s="402">
        <v>0</v>
      </c>
      <c r="X678" s="402">
        <v>0</v>
      </c>
      <c r="Y678" s="402">
        <v>0</v>
      </c>
      <c r="Z678" s="402">
        <v>0</v>
      </c>
      <c r="AA678" s="402">
        <v>160.69999999999999</v>
      </c>
    </row>
    <row r="679" spans="10:27" ht="15" customHeight="1" x14ac:dyDescent="0.25">
      <c r="J679" s="400" t="s">
        <v>336</v>
      </c>
      <c r="K679" s="408" t="s">
        <v>1623</v>
      </c>
      <c r="L679" s="402" t="s">
        <v>1624</v>
      </c>
      <c r="M679" s="402">
        <v>16025.18</v>
      </c>
      <c r="N679" s="402">
        <v>0</v>
      </c>
      <c r="O679" s="402">
        <v>2682</v>
      </c>
      <c r="P679" s="402">
        <v>1565.37</v>
      </c>
      <c r="Q679" s="402">
        <v>3577.84</v>
      </c>
      <c r="R679" s="402">
        <v>1799.72</v>
      </c>
      <c r="S679" s="402">
        <v>2114.29</v>
      </c>
      <c r="T679" s="402">
        <v>2149.67</v>
      </c>
      <c r="U679" s="402">
        <v>2136.29</v>
      </c>
      <c r="V679" s="402">
        <v>0</v>
      </c>
      <c r="W679" s="402">
        <v>0</v>
      </c>
      <c r="X679" s="402">
        <v>0</v>
      </c>
      <c r="Y679" s="402">
        <v>0</v>
      </c>
      <c r="Z679" s="402">
        <v>0</v>
      </c>
      <c r="AA679" s="402">
        <v>16025.18</v>
      </c>
    </row>
    <row r="680" spans="10:27" ht="15" customHeight="1" x14ac:dyDescent="0.25">
      <c r="J680" s="400" t="s">
        <v>336</v>
      </c>
      <c r="K680" s="408" t="s">
        <v>1625</v>
      </c>
      <c r="L680" s="402" t="s">
        <v>1626</v>
      </c>
      <c r="M680" s="402">
        <v>-16363.93</v>
      </c>
      <c r="N680" s="402">
        <v>0</v>
      </c>
      <c r="O680" s="402">
        <v>0</v>
      </c>
      <c r="P680" s="402">
        <v>-1045.72</v>
      </c>
      <c r="Q680" s="402">
        <v>0</v>
      </c>
      <c r="R680" s="402">
        <v>0</v>
      </c>
      <c r="S680" s="402">
        <v>-15318.21</v>
      </c>
      <c r="T680" s="402">
        <v>0</v>
      </c>
      <c r="U680" s="402">
        <v>0</v>
      </c>
      <c r="V680" s="402">
        <v>0</v>
      </c>
      <c r="W680" s="402">
        <v>0</v>
      </c>
      <c r="X680" s="402">
        <v>0</v>
      </c>
      <c r="Y680" s="402">
        <v>0</v>
      </c>
      <c r="Z680" s="402">
        <v>0</v>
      </c>
      <c r="AA680" s="402">
        <v>-16363.93</v>
      </c>
    </row>
    <row r="681" spans="10:27" ht="15" customHeight="1" x14ac:dyDescent="0.25">
      <c r="J681" s="400" t="s">
        <v>336</v>
      </c>
      <c r="K681" s="408" t="s">
        <v>1627</v>
      </c>
      <c r="L681" s="402" t="s">
        <v>1628</v>
      </c>
      <c r="M681" s="402">
        <v>4354595</v>
      </c>
      <c r="N681" s="402">
        <v>0</v>
      </c>
      <c r="O681" s="402">
        <v>0</v>
      </c>
      <c r="P681" s="402">
        <v>0</v>
      </c>
      <c r="Q681" s="402">
        <v>0</v>
      </c>
      <c r="R681" s="402">
        <v>0</v>
      </c>
      <c r="S681" s="402">
        <v>0</v>
      </c>
      <c r="T681" s="402">
        <v>0</v>
      </c>
      <c r="U681" s="402">
        <v>0</v>
      </c>
      <c r="V681" s="402">
        <v>1223891</v>
      </c>
      <c r="W681" s="402">
        <v>1033708</v>
      </c>
      <c r="X681" s="402">
        <v>849417</v>
      </c>
      <c r="Y681" s="402">
        <v>687377</v>
      </c>
      <c r="Z681" s="402">
        <v>560202</v>
      </c>
      <c r="AA681" s="402">
        <v>4354595</v>
      </c>
    </row>
    <row r="682" spans="10:27" ht="15" customHeight="1" x14ac:dyDescent="0.25">
      <c r="J682" s="400" t="s">
        <v>336</v>
      </c>
      <c r="K682" s="408" t="s">
        <v>1629</v>
      </c>
      <c r="L682" s="402" t="s">
        <v>1630</v>
      </c>
      <c r="M682" s="402">
        <v>147896</v>
      </c>
      <c r="N682" s="402">
        <v>0</v>
      </c>
      <c r="O682" s="402">
        <v>0</v>
      </c>
      <c r="P682" s="402">
        <v>0</v>
      </c>
      <c r="Q682" s="402">
        <v>0</v>
      </c>
      <c r="R682" s="402">
        <v>0</v>
      </c>
      <c r="S682" s="402">
        <v>0</v>
      </c>
      <c r="T682" s="402">
        <v>0</v>
      </c>
      <c r="U682" s="402">
        <v>0</v>
      </c>
      <c r="V682" s="402">
        <v>27260</v>
      </c>
      <c r="W682" s="402">
        <v>28385</v>
      </c>
      <c r="X682" s="402">
        <v>29663</v>
      </c>
      <c r="Y682" s="402">
        <v>30794</v>
      </c>
      <c r="Z682" s="402">
        <v>31794</v>
      </c>
      <c r="AA682" s="402">
        <v>147896</v>
      </c>
    </row>
    <row r="683" spans="10:27" ht="15" customHeight="1" x14ac:dyDescent="0.25">
      <c r="J683" s="400" t="s">
        <v>336</v>
      </c>
      <c r="K683" s="408" t="s">
        <v>1631</v>
      </c>
      <c r="L683" s="402" t="s">
        <v>1632</v>
      </c>
      <c r="M683" s="402">
        <v>1883</v>
      </c>
      <c r="N683" s="402">
        <v>0</v>
      </c>
      <c r="O683" s="402">
        <v>0</v>
      </c>
      <c r="P683" s="402">
        <v>0</v>
      </c>
      <c r="Q683" s="402">
        <v>0</v>
      </c>
      <c r="R683" s="402">
        <v>0</v>
      </c>
      <c r="S683" s="402">
        <v>0</v>
      </c>
      <c r="T683" s="402">
        <v>0</v>
      </c>
      <c r="U683" s="402">
        <v>0</v>
      </c>
      <c r="V683" s="402">
        <v>0</v>
      </c>
      <c r="W683" s="402">
        <v>0</v>
      </c>
      <c r="X683" s="402">
        <v>0</v>
      </c>
      <c r="Y683" s="402">
        <v>0</v>
      </c>
      <c r="Z683" s="402">
        <v>1883</v>
      </c>
      <c r="AA683" s="402">
        <v>1883</v>
      </c>
    </row>
    <row r="684" spans="10:27" ht="15" customHeight="1" x14ac:dyDescent="0.25">
      <c r="J684" s="400" t="s">
        <v>336</v>
      </c>
      <c r="K684" s="408" t="s">
        <v>1633</v>
      </c>
      <c r="L684" s="402" t="s">
        <v>1634</v>
      </c>
      <c r="M684" s="402">
        <v>686019.35202700004</v>
      </c>
      <c r="N684" s="402">
        <v>0</v>
      </c>
      <c r="O684" s="402">
        <v>0</v>
      </c>
      <c r="P684" s="402">
        <v>0</v>
      </c>
      <c r="Q684" s="402">
        <v>0</v>
      </c>
      <c r="R684" s="402">
        <v>0</v>
      </c>
      <c r="S684" s="402">
        <v>0</v>
      </c>
      <c r="T684" s="402">
        <v>0</v>
      </c>
      <c r="U684" s="402">
        <v>0</v>
      </c>
      <c r="V684" s="402">
        <v>343009.67601350002</v>
      </c>
      <c r="W684" s="402">
        <v>343009.67601350002</v>
      </c>
      <c r="X684" s="402">
        <v>0</v>
      </c>
      <c r="Y684" s="402">
        <v>0</v>
      </c>
      <c r="Z684" s="402">
        <v>0</v>
      </c>
      <c r="AA684" s="402">
        <v>686019.35202700004</v>
      </c>
    </row>
    <row r="685" spans="10:27" ht="15" customHeight="1" x14ac:dyDescent="0.25">
      <c r="J685" s="400" t="s">
        <v>336</v>
      </c>
      <c r="K685" s="408" t="s">
        <v>1635</v>
      </c>
      <c r="L685" s="402" t="s">
        <v>1636</v>
      </c>
      <c r="M685" s="402">
        <v>0</v>
      </c>
      <c r="N685" s="402">
        <v>879600.0085001</v>
      </c>
      <c r="O685" s="402">
        <v>0</v>
      </c>
      <c r="P685" s="402">
        <v>0</v>
      </c>
      <c r="Q685" s="402">
        <v>0</v>
      </c>
      <c r="R685" s="402">
        <v>0</v>
      </c>
      <c r="S685" s="402">
        <v>0</v>
      </c>
      <c r="T685" s="402">
        <v>0</v>
      </c>
      <c r="U685" s="402">
        <v>0</v>
      </c>
      <c r="V685" s="402">
        <v>0</v>
      </c>
      <c r="W685" s="402">
        <v>0</v>
      </c>
      <c r="X685" s="402">
        <v>0</v>
      </c>
      <c r="Y685" s="402">
        <v>0</v>
      </c>
      <c r="Z685" s="402">
        <v>0</v>
      </c>
      <c r="AA685" s="402">
        <v>0</v>
      </c>
    </row>
    <row r="686" spans="10:27" ht="15" customHeight="1" x14ac:dyDescent="0.25">
      <c r="J686" s="400" t="s">
        <v>336</v>
      </c>
      <c r="K686" s="408" t="s">
        <v>1637</v>
      </c>
      <c r="L686" s="402" t="s">
        <v>1638</v>
      </c>
      <c r="M686" s="402">
        <v>2618191</v>
      </c>
      <c r="N686" s="402">
        <v>5362999.9914998999</v>
      </c>
      <c r="O686" s="402">
        <v>0</v>
      </c>
      <c r="P686" s="402">
        <v>0</v>
      </c>
      <c r="Q686" s="402">
        <v>0</v>
      </c>
      <c r="R686" s="402">
        <v>0</v>
      </c>
      <c r="S686" s="402">
        <v>0</v>
      </c>
      <c r="T686" s="402">
        <v>0</v>
      </c>
      <c r="U686" s="402">
        <v>0</v>
      </c>
      <c r="V686" s="402">
        <v>492000</v>
      </c>
      <c r="W686" s="402">
        <v>576691</v>
      </c>
      <c r="X686" s="402">
        <v>495000</v>
      </c>
      <c r="Y686" s="402">
        <v>496000</v>
      </c>
      <c r="Z686" s="402">
        <v>558500</v>
      </c>
      <c r="AA686" s="402">
        <v>2618191</v>
      </c>
    </row>
    <row r="687" spans="10:27" ht="15" customHeight="1" x14ac:dyDescent="0.25">
      <c r="J687" s="400" t="s">
        <v>336</v>
      </c>
      <c r="K687" s="408" t="s">
        <v>1639</v>
      </c>
      <c r="L687" s="402" t="s">
        <v>1640</v>
      </c>
      <c r="M687" s="402">
        <v>2990760.15</v>
      </c>
      <c r="N687" s="402">
        <v>5127017.34</v>
      </c>
      <c r="O687" s="402">
        <v>427251.45</v>
      </c>
      <c r="P687" s="402">
        <v>427251.45</v>
      </c>
      <c r="Q687" s="402">
        <v>427251.45</v>
      </c>
      <c r="R687" s="402">
        <v>427251.45</v>
      </c>
      <c r="S687" s="402">
        <v>427251.45</v>
      </c>
      <c r="T687" s="402">
        <v>427251.45</v>
      </c>
      <c r="U687" s="402">
        <v>427251.45</v>
      </c>
      <c r="V687" s="402">
        <v>0</v>
      </c>
      <c r="W687" s="402">
        <v>0</v>
      </c>
      <c r="X687" s="402">
        <v>0</v>
      </c>
      <c r="Y687" s="402">
        <v>0</v>
      </c>
      <c r="Z687" s="402">
        <v>0</v>
      </c>
      <c r="AA687" s="402">
        <v>2990760.15</v>
      </c>
    </row>
    <row r="688" spans="10:27" ht="15" customHeight="1" x14ac:dyDescent="0.25">
      <c r="J688" s="400" t="s">
        <v>336</v>
      </c>
      <c r="K688" s="408" t="s">
        <v>1641</v>
      </c>
      <c r="L688" s="402" t="s">
        <v>1642</v>
      </c>
      <c r="M688" s="402">
        <v>2136257.19</v>
      </c>
      <c r="N688" s="402">
        <v>0</v>
      </c>
      <c r="O688" s="402">
        <v>0</v>
      </c>
      <c r="P688" s="402">
        <v>0</v>
      </c>
      <c r="Q688" s="402">
        <v>0</v>
      </c>
      <c r="R688" s="402">
        <v>0</v>
      </c>
      <c r="S688" s="402">
        <v>0</v>
      </c>
      <c r="T688" s="402">
        <v>0</v>
      </c>
      <c r="U688" s="402">
        <v>0</v>
      </c>
      <c r="V688" s="402">
        <v>427251.45</v>
      </c>
      <c r="W688" s="402">
        <v>427251.45</v>
      </c>
      <c r="X688" s="402">
        <v>427251.45</v>
      </c>
      <c r="Y688" s="402">
        <v>427251.45</v>
      </c>
      <c r="Z688" s="402">
        <v>427251.39</v>
      </c>
      <c r="AA688" s="402">
        <v>2136257.19</v>
      </c>
    </row>
    <row r="689" spans="10:27" ht="15" customHeight="1" x14ac:dyDescent="0.25">
      <c r="J689" s="400" t="s">
        <v>336</v>
      </c>
      <c r="K689" s="408" t="s">
        <v>1643</v>
      </c>
      <c r="L689" s="402" t="s">
        <v>1644</v>
      </c>
      <c r="M689" s="402">
        <v>846405.87</v>
      </c>
      <c r="N689" s="402">
        <v>0</v>
      </c>
      <c r="O689" s="402">
        <v>4304.41</v>
      </c>
      <c r="P689" s="402">
        <v>10579.41</v>
      </c>
      <c r="Q689" s="402">
        <v>4304.41</v>
      </c>
      <c r="R689" s="402">
        <v>4304.41</v>
      </c>
      <c r="S689" s="402">
        <v>814304.41</v>
      </c>
      <c r="T689" s="402">
        <v>4304.41</v>
      </c>
      <c r="U689" s="402">
        <v>4304.41</v>
      </c>
      <c r="V689" s="402">
        <v>0</v>
      </c>
      <c r="W689" s="402">
        <v>0</v>
      </c>
      <c r="X689" s="402">
        <v>0</v>
      </c>
      <c r="Y689" s="402">
        <v>0</v>
      </c>
      <c r="Z689" s="402">
        <v>0</v>
      </c>
      <c r="AA689" s="402">
        <v>846405.87</v>
      </c>
    </row>
    <row r="690" spans="10:27" ht="15" customHeight="1" x14ac:dyDescent="0.25">
      <c r="J690" s="400" t="s">
        <v>336</v>
      </c>
      <c r="K690" s="408" t="s">
        <v>1645</v>
      </c>
      <c r="L690" s="402" t="s">
        <v>1646</v>
      </c>
      <c r="M690" s="402">
        <v>244022.05</v>
      </c>
      <c r="N690" s="402">
        <v>1378644</v>
      </c>
      <c r="O690" s="402">
        <v>0</v>
      </c>
      <c r="P690" s="402">
        <v>0</v>
      </c>
      <c r="Q690" s="402">
        <v>0</v>
      </c>
      <c r="R690" s="402">
        <v>0</v>
      </c>
      <c r="S690" s="402">
        <v>0</v>
      </c>
      <c r="T690" s="402">
        <v>0</v>
      </c>
      <c r="U690" s="402">
        <v>0</v>
      </c>
      <c r="V690" s="402">
        <v>4304.41</v>
      </c>
      <c r="W690" s="402">
        <v>4304.41</v>
      </c>
      <c r="X690" s="402">
        <v>11804.41</v>
      </c>
      <c r="Y690" s="402">
        <v>211804.41</v>
      </c>
      <c r="Z690" s="402">
        <v>11804.41</v>
      </c>
      <c r="AA690" s="402">
        <v>244022.05</v>
      </c>
    </row>
    <row r="691" spans="10:27" ht="15" customHeight="1" x14ac:dyDescent="0.2">
      <c r="J691" s="392" t="s">
        <v>336</v>
      </c>
      <c r="K691" s="397" t="s">
        <v>1647</v>
      </c>
      <c r="L691" s="392" t="s">
        <v>1648</v>
      </c>
      <c r="M691" s="393">
        <v>35013984.194106601</v>
      </c>
      <c r="N691" s="393">
        <v>16507097.6084367</v>
      </c>
      <c r="O691" s="393">
        <v>2706246.45</v>
      </c>
      <c r="P691" s="393">
        <v>2731625.43</v>
      </c>
      <c r="Q691" s="393">
        <v>2979907.1</v>
      </c>
      <c r="R691" s="393">
        <v>3074341.59</v>
      </c>
      <c r="S691" s="393">
        <v>3220526.7</v>
      </c>
      <c r="T691" s="393">
        <v>3229022.69</v>
      </c>
      <c r="U691" s="393">
        <v>3394146.54</v>
      </c>
      <c r="V691" s="393">
        <v>3393236.5959000001</v>
      </c>
      <c r="W691" s="393">
        <v>3412485.9288932998</v>
      </c>
      <c r="X691" s="393">
        <v>3465718.6656999998</v>
      </c>
      <c r="Y691" s="393">
        <v>3406726.5036133002</v>
      </c>
      <c r="Z691" s="393">
        <v>0</v>
      </c>
      <c r="AA691" s="393">
        <v>35013984.194106601</v>
      </c>
    </row>
    <row r="692" spans="10:27" ht="15" customHeight="1" x14ac:dyDescent="0.25">
      <c r="J692" s="400" t="s">
        <v>336</v>
      </c>
      <c r="K692" s="408" t="s">
        <v>1649</v>
      </c>
      <c r="L692" s="402" t="s">
        <v>1650</v>
      </c>
      <c r="M692" s="402">
        <v>21335816.5</v>
      </c>
      <c r="N692" s="402">
        <v>0</v>
      </c>
      <c r="O692" s="402">
        <v>2706246.45</v>
      </c>
      <c r="P692" s="402">
        <v>2731625.43</v>
      </c>
      <c r="Q692" s="402">
        <v>2979907.1</v>
      </c>
      <c r="R692" s="402">
        <v>3074341.59</v>
      </c>
      <c r="S692" s="402">
        <v>3220526.7</v>
      </c>
      <c r="T692" s="402">
        <v>3229022.69</v>
      </c>
      <c r="U692" s="402">
        <v>3394146.54</v>
      </c>
      <c r="V692" s="402">
        <v>0</v>
      </c>
      <c r="W692" s="402">
        <v>0</v>
      </c>
      <c r="X692" s="402">
        <v>0</v>
      </c>
      <c r="Y692" s="402">
        <v>0</v>
      </c>
      <c r="Z692" s="402">
        <v>0</v>
      </c>
      <c r="AA692" s="402">
        <v>21335816.5</v>
      </c>
    </row>
    <row r="693" spans="10:27" ht="15" customHeight="1" x14ac:dyDescent="0.25">
      <c r="J693" s="400" t="s">
        <v>336</v>
      </c>
      <c r="K693" s="408" t="s">
        <v>1651</v>
      </c>
      <c r="L693" s="402" t="s">
        <v>1652</v>
      </c>
      <c r="M693" s="402">
        <v>13678167.694106599</v>
      </c>
      <c r="N693" s="402">
        <v>16507097.6084367</v>
      </c>
      <c r="O693" s="402">
        <v>0</v>
      </c>
      <c r="P693" s="402">
        <v>0</v>
      </c>
      <c r="Q693" s="402">
        <v>0</v>
      </c>
      <c r="R693" s="402">
        <v>0</v>
      </c>
      <c r="S693" s="402">
        <v>0</v>
      </c>
      <c r="T693" s="402">
        <v>0</v>
      </c>
      <c r="U693" s="402">
        <v>0</v>
      </c>
      <c r="V693" s="402">
        <v>3393236.5959000001</v>
      </c>
      <c r="W693" s="402">
        <v>3412485.9288932998</v>
      </c>
      <c r="X693" s="402">
        <v>3465718.6656999998</v>
      </c>
      <c r="Y693" s="402">
        <v>3406726.5036133002</v>
      </c>
      <c r="Z693" s="402">
        <v>0</v>
      </c>
      <c r="AA693" s="402">
        <v>13678167.694106599</v>
      </c>
    </row>
    <row r="694" spans="10:27" ht="15" customHeight="1" x14ac:dyDescent="0.2">
      <c r="J694" s="392" t="s">
        <v>336</v>
      </c>
      <c r="K694" s="397" t="s">
        <v>1653</v>
      </c>
      <c r="L694" s="392" t="s">
        <v>1654</v>
      </c>
      <c r="M694" s="393">
        <v>289903.5</v>
      </c>
      <c r="N694" s="393">
        <v>289918.60666659998</v>
      </c>
      <c r="O694" s="393">
        <v>23830.38</v>
      </c>
      <c r="P694" s="393">
        <v>585.72</v>
      </c>
      <c r="Q694" s="393">
        <v>12205.03</v>
      </c>
      <c r="R694" s="393">
        <v>12205.03</v>
      </c>
      <c r="S694" s="393">
        <v>12205.03</v>
      </c>
      <c r="T694" s="393">
        <v>12205.03</v>
      </c>
      <c r="U694" s="393">
        <v>12205.03</v>
      </c>
      <c r="V694" s="393">
        <v>12208.05</v>
      </c>
      <c r="W694" s="393">
        <v>12208.05</v>
      </c>
      <c r="X694" s="393">
        <v>12208.05</v>
      </c>
      <c r="Y694" s="393">
        <v>83919.05</v>
      </c>
      <c r="Z694" s="393">
        <v>83919.05</v>
      </c>
      <c r="AA694" s="393">
        <v>289903.5</v>
      </c>
    </row>
    <row r="695" spans="10:27" ht="15" customHeight="1" x14ac:dyDescent="0.25">
      <c r="J695" s="400" t="s">
        <v>336</v>
      </c>
      <c r="K695" s="408" t="s">
        <v>1655</v>
      </c>
      <c r="L695" s="402" t="s">
        <v>1656</v>
      </c>
      <c r="M695" s="402">
        <v>85441.25</v>
      </c>
      <c r="N695" s="402">
        <v>0</v>
      </c>
      <c r="O695" s="402">
        <v>23830.38</v>
      </c>
      <c r="P695" s="402">
        <v>585.72</v>
      </c>
      <c r="Q695" s="402">
        <v>12205.03</v>
      </c>
      <c r="R695" s="402">
        <v>12205.03</v>
      </c>
      <c r="S695" s="402">
        <v>12205.03</v>
      </c>
      <c r="T695" s="402">
        <v>12205.03</v>
      </c>
      <c r="U695" s="402">
        <v>12205.03</v>
      </c>
      <c r="V695" s="402">
        <v>0</v>
      </c>
      <c r="W695" s="402">
        <v>0</v>
      </c>
      <c r="X695" s="402">
        <v>0</v>
      </c>
      <c r="Y695" s="402">
        <v>0</v>
      </c>
      <c r="Z695" s="402">
        <v>0</v>
      </c>
      <c r="AA695" s="402">
        <v>85441.25</v>
      </c>
    </row>
    <row r="696" spans="10:27" ht="15" customHeight="1" x14ac:dyDescent="0.25">
      <c r="J696" s="400" t="s">
        <v>336</v>
      </c>
      <c r="K696" s="408" t="s">
        <v>1657</v>
      </c>
      <c r="L696" s="402" t="s">
        <v>1658</v>
      </c>
      <c r="M696" s="402">
        <v>37499.730000000003</v>
      </c>
      <c r="N696" s="402">
        <v>120305.34</v>
      </c>
      <c r="O696" s="402">
        <v>0</v>
      </c>
      <c r="P696" s="402">
        <v>0</v>
      </c>
      <c r="Q696" s="402">
        <v>0</v>
      </c>
      <c r="R696" s="402">
        <v>0</v>
      </c>
      <c r="S696" s="402">
        <v>0</v>
      </c>
      <c r="T696" s="402">
        <v>0</v>
      </c>
      <c r="U696" s="402">
        <v>0</v>
      </c>
      <c r="V696" s="402">
        <v>11912.19</v>
      </c>
      <c r="W696" s="402">
        <v>12208.05</v>
      </c>
      <c r="X696" s="402">
        <v>12208.05</v>
      </c>
      <c r="Y696" s="402">
        <v>585.72</v>
      </c>
      <c r="Z696" s="402">
        <v>585.72</v>
      </c>
      <c r="AA696" s="402">
        <v>37499.730000000003</v>
      </c>
    </row>
    <row r="697" spans="10:27" ht="15" customHeight="1" x14ac:dyDescent="0.25">
      <c r="J697" s="400" t="s">
        <v>336</v>
      </c>
      <c r="K697" s="408" t="s">
        <v>1659</v>
      </c>
      <c r="L697" s="402" t="s">
        <v>1660</v>
      </c>
      <c r="M697" s="402">
        <v>166962.51999999999</v>
      </c>
      <c r="N697" s="402">
        <v>169613.26666659999</v>
      </c>
      <c r="O697" s="402">
        <v>0</v>
      </c>
      <c r="P697" s="402">
        <v>0</v>
      </c>
      <c r="Q697" s="402">
        <v>0</v>
      </c>
      <c r="R697" s="402">
        <v>0</v>
      </c>
      <c r="S697" s="402">
        <v>0</v>
      </c>
      <c r="T697" s="402">
        <v>0</v>
      </c>
      <c r="U697" s="402">
        <v>0</v>
      </c>
      <c r="V697" s="402">
        <v>295.86</v>
      </c>
      <c r="W697" s="402">
        <v>0</v>
      </c>
      <c r="X697" s="402">
        <v>0</v>
      </c>
      <c r="Y697" s="402">
        <v>83333.33</v>
      </c>
      <c r="Z697" s="402">
        <v>83333.33</v>
      </c>
      <c r="AA697" s="402">
        <v>166962.51999999999</v>
      </c>
    </row>
    <row r="698" spans="10:27" ht="15" customHeight="1" x14ac:dyDescent="0.2">
      <c r="J698" s="392" t="s">
        <v>336</v>
      </c>
      <c r="K698" s="395" t="s">
        <v>1661</v>
      </c>
      <c r="L698" s="392" t="s">
        <v>1662</v>
      </c>
      <c r="M698" s="393">
        <v>235686482.4827176</v>
      </c>
      <c r="N698" s="393">
        <v>203395887.0302729</v>
      </c>
      <c r="O698" s="393">
        <v>18446997.120000001</v>
      </c>
      <c r="P698" s="393">
        <v>19962813.559999999</v>
      </c>
      <c r="Q698" s="393">
        <v>19895661.600000001</v>
      </c>
      <c r="R698" s="393">
        <v>20110796.760000002</v>
      </c>
      <c r="S698" s="393">
        <v>20330260.77</v>
      </c>
      <c r="T698" s="393">
        <v>20113323.960000001</v>
      </c>
      <c r="U698" s="393">
        <v>20617873.07</v>
      </c>
      <c r="V698" s="393">
        <v>20114964.696808599</v>
      </c>
      <c r="W698" s="393">
        <v>19930635.7285689</v>
      </c>
      <c r="X698" s="393">
        <v>19660748.1530062</v>
      </c>
      <c r="Y698" s="393">
        <v>19985277.694832999</v>
      </c>
      <c r="Z698" s="393">
        <v>16517129.3695009</v>
      </c>
      <c r="AA698" s="393">
        <v>235686482.4827176</v>
      </c>
    </row>
    <row r="699" spans="10:27" ht="15" customHeight="1" x14ac:dyDescent="0.2">
      <c r="J699" s="392" t="s">
        <v>336</v>
      </c>
      <c r="K699" s="396" t="s">
        <v>1663</v>
      </c>
      <c r="L699" s="392" t="s">
        <v>1664</v>
      </c>
      <c r="M699" s="393">
        <v>241915891.9827176</v>
      </c>
      <c r="N699" s="393">
        <v>209300266.57027289</v>
      </c>
      <c r="O699" s="393">
        <v>18771588.359999999</v>
      </c>
      <c r="P699" s="393">
        <v>20308865.550000001</v>
      </c>
      <c r="Q699" s="393">
        <v>20266588.98</v>
      </c>
      <c r="R699" s="393">
        <v>20522173.93</v>
      </c>
      <c r="S699" s="393">
        <v>20779399.350000001</v>
      </c>
      <c r="T699" s="393">
        <v>20606031.510000002</v>
      </c>
      <c r="U699" s="393">
        <v>21163127.640000001</v>
      </c>
      <c r="V699" s="393">
        <v>20712804.146808598</v>
      </c>
      <c r="W699" s="393">
        <v>20574319.508568902</v>
      </c>
      <c r="X699" s="393">
        <v>20356549.4530062</v>
      </c>
      <c r="Y699" s="393">
        <v>20730948.864833001</v>
      </c>
      <c r="Z699" s="393">
        <v>17123494.689500902</v>
      </c>
      <c r="AA699" s="393">
        <v>241915891.9827176</v>
      </c>
    </row>
    <row r="700" spans="10:27" ht="15" customHeight="1" x14ac:dyDescent="0.2">
      <c r="J700" s="392" t="s">
        <v>336</v>
      </c>
      <c r="K700" s="397" t="s">
        <v>1665</v>
      </c>
      <c r="L700" s="392" t="s">
        <v>1666</v>
      </c>
      <c r="M700" s="393">
        <v>10091489.640000001</v>
      </c>
      <c r="N700" s="393">
        <v>0</v>
      </c>
      <c r="O700" s="393">
        <v>0</v>
      </c>
      <c r="P700" s="393">
        <v>1877789.11</v>
      </c>
      <c r="Q700" s="393">
        <v>925197.33</v>
      </c>
      <c r="R700" s="393">
        <v>882256.38</v>
      </c>
      <c r="S700" s="393">
        <v>922131.16</v>
      </c>
      <c r="T700" s="393">
        <v>904954.38</v>
      </c>
      <c r="U700" s="393">
        <v>939161.28</v>
      </c>
      <c r="V700" s="393">
        <v>910000</v>
      </c>
      <c r="W700" s="393">
        <v>910000</v>
      </c>
      <c r="X700" s="393">
        <v>910000</v>
      </c>
      <c r="Y700" s="393">
        <v>910000</v>
      </c>
      <c r="Z700" s="393">
        <v>0</v>
      </c>
      <c r="AA700" s="393">
        <v>10091489.640000001</v>
      </c>
    </row>
    <row r="701" spans="10:27" ht="15" customHeight="1" x14ac:dyDescent="0.25">
      <c r="J701" s="400" t="s">
        <v>336</v>
      </c>
      <c r="K701" s="408" t="s">
        <v>1667</v>
      </c>
      <c r="L701" s="402" t="s">
        <v>1668</v>
      </c>
      <c r="M701" s="402">
        <v>10091489.640000001</v>
      </c>
      <c r="N701" s="402">
        <v>0</v>
      </c>
      <c r="O701" s="402">
        <v>0</v>
      </c>
      <c r="P701" s="402">
        <v>1877789.11</v>
      </c>
      <c r="Q701" s="402">
        <v>925197.33</v>
      </c>
      <c r="R701" s="402">
        <v>882256.38</v>
      </c>
      <c r="S701" s="402">
        <v>922131.16</v>
      </c>
      <c r="T701" s="402">
        <v>904954.38</v>
      </c>
      <c r="U701" s="402">
        <v>939161.28</v>
      </c>
      <c r="V701" s="402">
        <v>910000</v>
      </c>
      <c r="W701" s="402">
        <v>910000</v>
      </c>
      <c r="X701" s="402">
        <v>910000</v>
      </c>
      <c r="Y701" s="402">
        <v>910000</v>
      </c>
      <c r="Z701" s="402">
        <v>0</v>
      </c>
      <c r="AA701" s="402">
        <v>10091489.640000001</v>
      </c>
    </row>
    <row r="702" spans="10:27" ht="15" customHeight="1" x14ac:dyDescent="0.2">
      <c r="J702" s="392" t="s">
        <v>336</v>
      </c>
      <c r="K702" s="397" t="s">
        <v>1669</v>
      </c>
      <c r="L702" s="392" t="s">
        <v>1670</v>
      </c>
      <c r="M702" s="393">
        <v>163735800.99000001</v>
      </c>
      <c r="N702" s="393">
        <v>163524461.49000001</v>
      </c>
      <c r="O702" s="393">
        <v>13694247.25</v>
      </c>
      <c r="P702" s="393">
        <v>13642199.83</v>
      </c>
      <c r="Q702" s="393">
        <v>13642199.83</v>
      </c>
      <c r="R702" s="393">
        <v>13642199.83</v>
      </c>
      <c r="S702" s="393">
        <v>13642199.83</v>
      </c>
      <c r="T702" s="393">
        <v>13642199.83</v>
      </c>
      <c r="U702" s="393">
        <v>13642199.83</v>
      </c>
      <c r="V702" s="393">
        <v>13642199.83</v>
      </c>
      <c r="W702" s="393">
        <v>13642199.83</v>
      </c>
      <c r="X702" s="393">
        <v>13634651.699999999</v>
      </c>
      <c r="Y702" s="393">
        <v>13634651.699999999</v>
      </c>
      <c r="Z702" s="393">
        <v>13634651.699999999</v>
      </c>
      <c r="AA702" s="393">
        <v>163735800.99000001</v>
      </c>
    </row>
    <row r="703" spans="10:27" ht="15" customHeight="1" x14ac:dyDescent="0.25">
      <c r="J703" s="400" t="s">
        <v>336</v>
      </c>
      <c r="K703" s="408" t="s">
        <v>1671</v>
      </c>
      <c r="L703" s="402" t="s">
        <v>1672</v>
      </c>
      <c r="M703" s="402">
        <v>275762.90000000002</v>
      </c>
      <c r="N703" s="402">
        <v>0</v>
      </c>
      <c r="O703" s="402">
        <v>39394.699999999997</v>
      </c>
      <c r="P703" s="402">
        <v>39394.699999999997</v>
      </c>
      <c r="Q703" s="402">
        <v>39394.699999999997</v>
      </c>
      <c r="R703" s="402">
        <v>39394.699999999997</v>
      </c>
      <c r="S703" s="402">
        <v>39394.699999999997</v>
      </c>
      <c r="T703" s="402">
        <v>39394.699999999997</v>
      </c>
      <c r="U703" s="402">
        <v>39394.699999999997</v>
      </c>
      <c r="V703" s="402">
        <v>0</v>
      </c>
      <c r="W703" s="402">
        <v>0</v>
      </c>
      <c r="X703" s="402">
        <v>0</v>
      </c>
      <c r="Y703" s="402">
        <v>0</v>
      </c>
      <c r="Z703" s="402">
        <v>0</v>
      </c>
      <c r="AA703" s="402">
        <v>275762.90000000002</v>
      </c>
    </row>
    <row r="704" spans="10:27" ht="15" customHeight="1" x14ac:dyDescent="0.25">
      <c r="J704" s="400" t="s">
        <v>336</v>
      </c>
      <c r="K704" s="408" t="s">
        <v>1673</v>
      </c>
      <c r="L704" s="402" t="s">
        <v>1674</v>
      </c>
      <c r="M704" s="402">
        <v>93471875</v>
      </c>
      <c r="N704" s="402">
        <v>0</v>
      </c>
      <c r="O704" s="402">
        <v>13353125</v>
      </c>
      <c r="P704" s="402">
        <v>13353125</v>
      </c>
      <c r="Q704" s="402">
        <v>13353125</v>
      </c>
      <c r="R704" s="402">
        <v>13353125</v>
      </c>
      <c r="S704" s="402">
        <v>13353125</v>
      </c>
      <c r="T704" s="402">
        <v>13353125</v>
      </c>
      <c r="U704" s="402">
        <v>13353125</v>
      </c>
      <c r="V704" s="402">
        <v>0</v>
      </c>
      <c r="W704" s="402">
        <v>0</v>
      </c>
      <c r="X704" s="402">
        <v>0</v>
      </c>
      <c r="Y704" s="402">
        <v>0</v>
      </c>
      <c r="Z704" s="402">
        <v>0</v>
      </c>
      <c r="AA704" s="402">
        <v>93471875</v>
      </c>
    </row>
    <row r="705" spans="10:27" ht="15" customHeight="1" x14ac:dyDescent="0.25">
      <c r="J705" s="400" t="s">
        <v>336</v>
      </c>
      <c r="K705" s="408" t="s">
        <v>1675</v>
      </c>
      <c r="L705" s="402" t="s">
        <v>1676</v>
      </c>
      <c r="M705" s="402">
        <v>363335.21</v>
      </c>
      <c r="N705" s="402">
        <v>0</v>
      </c>
      <c r="O705" s="402">
        <v>51905.03</v>
      </c>
      <c r="P705" s="402">
        <v>51905.03</v>
      </c>
      <c r="Q705" s="402">
        <v>51905.03</v>
      </c>
      <c r="R705" s="402">
        <v>51905.03</v>
      </c>
      <c r="S705" s="402">
        <v>51905.03</v>
      </c>
      <c r="T705" s="402">
        <v>51905.03</v>
      </c>
      <c r="U705" s="402">
        <v>51905.03</v>
      </c>
      <c r="V705" s="402">
        <v>0</v>
      </c>
      <c r="W705" s="402">
        <v>0</v>
      </c>
      <c r="X705" s="402">
        <v>0</v>
      </c>
      <c r="Y705" s="402">
        <v>0</v>
      </c>
      <c r="Z705" s="402">
        <v>0</v>
      </c>
      <c r="AA705" s="402">
        <v>363335.21</v>
      </c>
    </row>
    <row r="706" spans="10:27" ht="15" customHeight="1" x14ac:dyDescent="0.25">
      <c r="J706" s="400" t="s">
        <v>336</v>
      </c>
      <c r="K706" s="408" t="s">
        <v>1677</v>
      </c>
      <c r="L706" s="402" t="s">
        <v>1678</v>
      </c>
      <c r="M706" s="402">
        <v>1436473.12</v>
      </c>
      <c r="N706" s="402">
        <v>0</v>
      </c>
      <c r="O706" s="402">
        <v>249822.52</v>
      </c>
      <c r="P706" s="402">
        <v>197775.1</v>
      </c>
      <c r="Q706" s="402">
        <v>197775.1</v>
      </c>
      <c r="R706" s="402">
        <v>197775.1</v>
      </c>
      <c r="S706" s="402">
        <v>197775.1</v>
      </c>
      <c r="T706" s="402">
        <v>197775.1</v>
      </c>
      <c r="U706" s="402">
        <v>197775.1</v>
      </c>
      <c r="V706" s="402">
        <v>0</v>
      </c>
      <c r="W706" s="402">
        <v>0</v>
      </c>
      <c r="X706" s="402">
        <v>0</v>
      </c>
      <c r="Y706" s="402">
        <v>0</v>
      </c>
      <c r="Z706" s="402">
        <v>0</v>
      </c>
      <c r="AA706" s="402">
        <v>1436473.12</v>
      </c>
    </row>
    <row r="707" spans="10:27" ht="15" customHeight="1" x14ac:dyDescent="0.25">
      <c r="J707" s="400" t="s">
        <v>336</v>
      </c>
      <c r="K707" s="408" t="s">
        <v>1679</v>
      </c>
      <c r="L707" s="402" t="s">
        <v>1680</v>
      </c>
      <c r="M707" s="402">
        <v>174329.11</v>
      </c>
      <c r="N707" s="402">
        <v>450092.01</v>
      </c>
      <c r="O707" s="402">
        <v>0</v>
      </c>
      <c r="P707" s="402">
        <v>0</v>
      </c>
      <c r="Q707" s="402">
        <v>0</v>
      </c>
      <c r="R707" s="402">
        <v>0</v>
      </c>
      <c r="S707" s="402">
        <v>0</v>
      </c>
      <c r="T707" s="402">
        <v>0</v>
      </c>
      <c r="U707" s="402">
        <v>0</v>
      </c>
      <c r="V707" s="402">
        <v>39394.699999999997</v>
      </c>
      <c r="W707" s="402">
        <v>39394.699999999997</v>
      </c>
      <c r="X707" s="402">
        <v>31846.57</v>
      </c>
      <c r="Y707" s="402">
        <v>31846.57</v>
      </c>
      <c r="Z707" s="402">
        <v>31846.57</v>
      </c>
      <c r="AA707" s="402">
        <v>174329.11</v>
      </c>
    </row>
    <row r="708" spans="10:27" ht="15" customHeight="1" x14ac:dyDescent="0.25">
      <c r="J708" s="400" t="s">
        <v>336</v>
      </c>
      <c r="K708" s="408" t="s">
        <v>1681</v>
      </c>
      <c r="L708" s="402" t="s">
        <v>1682</v>
      </c>
      <c r="M708" s="402">
        <v>66765625</v>
      </c>
      <c r="N708" s="402">
        <v>160237500</v>
      </c>
      <c r="O708" s="402">
        <v>0</v>
      </c>
      <c r="P708" s="402">
        <v>0</v>
      </c>
      <c r="Q708" s="402">
        <v>0</v>
      </c>
      <c r="R708" s="402">
        <v>0</v>
      </c>
      <c r="S708" s="402">
        <v>0</v>
      </c>
      <c r="T708" s="402">
        <v>0</v>
      </c>
      <c r="U708" s="402">
        <v>0</v>
      </c>
      <c r="V708" s="402">
        <v>13353125</v>
      </c>
      <c r="W708" s="402">
        <v>13353125</v>
      </c>
      <c r="X708" s="402">
        <v>13353125</v>
      </c>
      <c r="Y708" s="402">
        <v>13353125</v>
      </c>
      <c r="Z708" s="402">
        <v>13353125</v>
      </c>
      <c r="AA708" s="402">
        <v>66765625</v>
      </c>
    </row>
    <row r="709" spans="10:27" ht="15" customHeight="1" x14ac:dyDescent="0.25">
      <c r="J709" s="400" t="s">
        <v>336</v>
      </c>
      <c r="K709" s="408" t="s">
        <v>1683</v>
      </c>
      <c r="L709" s="402" t="s">
        <v>1684</v>
      </c>
      <c r="M709" s="402">
        <v>259525.15</v>
      </c>
      <c r="N709" s="402">
        <v>622860.36</v>
      </c>
      <c r="O709" s="402">
        <v>0</v>
      </c>
      <c r="P709" s="402">
        <v>0</v>
      </c>
      <c r="Q709" s="402">
        <v>0</v>
      </c>
      <c r="R709" s="402">
        <v>0</v>
      </c>
      <c r="S709" s="402">
        <v>0</v>
      </c>
      <c r="T709" s="402">
        <v>0</v>
      </c>
      <c r="U709" s="402">
        <v>0</v>
      </c>
      <c r="V709" s="402">
        <v>51905.03</v>
      </c>
      <c r="W709" s="402">
        <v>51905.03</v>
      </c>
      <c r="X709" s="402">
        <v>51905.03</v>
      </c>
      <c r="Y709" s="402">
        <v>51905.03</v>
      </c>
      <c r="Z709" s="402">
        <v>51905.03</v>
      </c>
      <c r="AA709" s="402">
        <v>259525.15</v>
      </c>
    </row>
    <row r="710" spans="10:27" ht="15" customHeight="1" x14ac:dyDescent="0.25">
      <c r="J710" s="400" t="s">
        <v>336</v>
      </c>
      <c r="K710" s="408" t="s">
        <v>1685</v>
      </c>
      <c r="L710" s="402" t="s">
        <v>1686</v>
      </c>
      <c r="M710" s="402">
        <v>988875.5</v>
      </c>
      <c r="N710" s="402">
        <v>2214009.12</v>
      </c>
      <c r="O710" s="402">
        <v>0</v>
      </c>
      <c r="P710" s="402">
        <v>0</v>
      </c>
      <c r="Q710" s="402">
        <v>0</v>
      </c>
      <c r="R710" s="402">
        <v>0</v>
      </c>
      <c r="S710" s="402">
        <v>0</v>
      </c>
      <c r="T710" s="402">
        <v>0</v>
      </c>
      <c r="U710" s="402">
        <v>0</v>
      </c>
      <c r="V710" s="402">
        <v>197775.1</v>
      </c>
      <c r="W710" s="402">
        <v>197775.1</v>
      </c>
      <c r="X710" s="402">
        <v>197775.1</v>
      </c>
      <c r="Y710" s="402">
        <v>197775.1</v>
      </c>
      <c r="Z710" s="402">
        <v>197775.1</v>
      </c>
      <c r="AA710" s="402">
        <v>988875.5</v>
      </c>
    </row>
    <row r="711" spans="10:27" ht="15" customHeight="1" x14ac:dyDescent="0.2">
      <c r="J711" s="392" t="s">
        <v>336</v>
      </c>
      <c r="K711" s="397" t="s">
        <v>1687</v>
      </c>
      <c r="L711" s="392" t="s">
        <v>1688</v>
      </c>
      <c r="M711" s="393">
        <v>68088601.352717593</v>
      </c>
      <c r="N711" s="393">
        <v>45775805.080272898</v>
      </c>
      <c r="O711" s="393">
        <v>5077341.1100000003</v>
      </c>
      <c r="P711" s="393">
        <v>4788876.6100000003</v>
      </c>
      <c r="Q711" s="393">
        <v>5699191.8200000003</v>
      </c>
      <c r="R711" s="393">
        <v>5997717.7199999997</v>
      </c>
      <c r="S711" s="393">
        <v>6215068.3600000003</v>
      </c>
      <c r="T711" s="393">
        <v>6058877.2999999998</v>
      </c>
      <c r="U711" s="393">
        <v>6581766.5300000003</v>
      </c>
      <c r="V711" s="393">
        <v>6160604.3168086</v>
      </c>
      <c r="W711" s="393">
        <v>6022119.6785688996</v>
      </c>
      <c r="X711" s="393">
        <v>5811897.7530062003</v>
      </c>
      <c r="Y711" s="393">
        <v>6186297.1648329999</v>
      </c>
      <c r="Z711" s="393">
        <v>3488842.9895008998</v>
      </c>
      <c r="AA711" s="393">
        <v>68088601.352717593</v>
      </c>
    </row>
    <row r="712" spans="10:27" ht="15" customHeight="1" x14ac:dyDescent="0.25">
      <c r="J712" s="400" t="s">
        <v>336</v>
      </c>
      <c r="K712" s="408" t="s">
        <v>1689</v>
      </c>
      <c r="L712" s="402" t="s">
        <v>1690</v>
      </c>
      <c r="M712" s="402">
        <v>2940048.48</v>
      </c>
      <c r="N712" s="402">
        <v>0</v>
      </c>
      <c r="O712" s="402">
        <v>324591.24</v>
      </c>
      <c r="P712" s="402">
        <v>346051.99</v>
      </c>
      <c r="Q712" s="402">
        <v>370927.38</v>
      </c>
      <c r="R712" s="402">
        <v>411377.17</v>
      </c>
      <c r="S712" s="402">
        <v>449138.58</v>
      </c>
      <c r="T712" s="402">
        <v>492707.55</v>
      </c>
      <c r="U712" s="402">
        <v>545254.56999999995</v>
      </c>
      <c r="V712" s="402">
        <v>0</v>
      </c>
      <c r="W712" s="402">
        <v>0</v>
      </c>
      <c r="X712" s="402">
        <v>0</v>
      </c>
      <c r="Y712" s="402">
        <v>0</v>
      </c>
      <c r="Z712" s="402">
        <v>0</v>
      </c>
      <c r="AA712" s="402">
        <v>2940048.48</v>
      </c>
    </row>
    <row r="713" spans="10:27" ht="15" customHeight="1" x14ac:dyDescent="0.25">
      <c r="J713" s="400" t="s">
        <v>336</v>
      </c>
      <c r="K713" s="408" t="s">
        <v>1691</v>
      </c>
      <c r="L713" s="402" t="s">
        <v>1692</v>
      </c>
      <c r="M713" s="402">
        <v>1681986.59</v>
      </c>
      <c r="N713" s="402">
        <v>0</v>
      </c>
      <c r="O713" s="402">
        <v>233801.41</v>
      </c>
      <c r="P713" s="402">
        <v>236263.5</v>
      </c>
      <c r="Q713" s="402">
        <v>238666.07</v>
      </c>
      <c r="R713" s="402">
        <v>240091.95</v>
      </c>
      <c r="S713" s="402">
        <v>242605.99</v>
      </c>
      <c r="T713" s="402">
        <v>244473.9</v>
      </c>
      <c r="U713" s="402">
        <v>246083.77</v>
      </c>
      <c r="V713" s="402">
        <v>0</v>
      </c>
      <c r="W713" s="402">
        <v>0</v>
      </c>
      <c r="X713" s="402">
        <v>0</v>
      </c>
      <c r="Y713" s="402">
        <v>0</v>
      </c>
      <c r="Z713" s="402">
        <v>0</v>
      </c>
      <c r="AA713" s="402">
        <v>1681986.59</v>
      </c>
    </row>
    <row r="714" spans="10:27" ht="15" customHeight="1" x14ac:dyDescent="0.25">
      <c r="J714" s="400" t="s">
        <v>336</v>
      </c>
      <c r="K714" s="408" t="s">
        <v>1693</v>
      </c>
      <c r="L714" s="402" t="s">
        <v>1694</v>
      </c>
      <c r="M714" s="402">
        <v>451797.73</v>
      </c>
      <c r="N714" s="402">
        <v>0</v>
      </c>
      <c r="O714" s="402">
        <v>58762.37</v>
      </c>
      <c r="P714" s="402">
        <v>59971.29</v>
      </c>
      <c r="Q714" s="402">
        <v>58762.37</v>
      </c>
      <c r="R714" s="402">
        <v>98014.59</v>
      </c>
      <c r="S714" s="402">
        <v>58762.37</v>
      </c>
      <c r="T714" s="402">
        <v>58762.37</v>
      </c>
      <c r="U714" s="402">
        <v>58762.37</v>
      </c>
      <c r="V714" s="402">
        <v>0</v>
      </c>
      <c r="W714" s="402">
        <v>0</v>
      </c>
      <c r="X714" s="402">
        <v>0</v>
      </c>
      <c r="Y714" s="402">
        <v>0</v>
      </c>
      <c r="Z714" s="402">
        <v>0</v>
      </c>
      <c r="AA714" s="402">
        <v>451797.73</v>
      </c>
    </row>
    <row r="715" spans="10:27" ht="15" customHeight="1" x14ac:dyDescent="0.25">
      <c r="J715" s="400" t="s">
        <v>336</v>
      </c>
      <c r="K715" s="408" t="s">
        <v>1695</v>
      </c>
      <c r="L715" s="402" t="s">
        <v>1696</v>
      </c>
      <c r="M715" s="402">
        <v>62706772.202947497</v>
      </c>
      <c r="N715" s="402">
        <v>41615054.558949903</v>
      </c>
      <c r="O715" s="402">
        <v>4671339.76</v>
      </c>
      <c r="P715" s="402">
        <v>4389129.47</v>
      </c>
      <c r="Q715" s="402">
        <v>5295698.1399999997</v>
      </c>
      <c r="R715" s="402">
        <v>5559250.3899999997</v>
      </c>
      <c r="S715" s="402">
        <v>5818536.6799999997</v>
      </c>
      <c r="T715" s="402">
        <v>5656394.1100000003</v>
      </c>
      <c r="U715" s="402">
        <v>6177493.8300000001</v>
      </c>
      <c r="V715" s="402">
        <v>5665096.9443052998</v>
      </c>
      <c r="W715" s="402">
        <v>5522419.1036385</v>
      </c>
      <c r="X715" s="402">
        <v>5309140.4843020001</v>
      </c>
      <c r="Y715" s="402">
        <v>5690032.0011053002</v>
      </c>
      <c r="Z715" s="402">
        <v>2952241.2895964002</v>
      </c>
      <c r="AA715" s="402">
        <v>62706772.202947497</v>
      </c>
    </row>
    <row r="716" spans="10:27" ht="15" customHeight="1" x14ac:dyDescent="0.25">
      <c r="J716" s="400" t="s">
        <v>336</v>
      </c>
      <c r="K716" s="408" t="s">
        <v>1697</v>
      </c>
      <c r="L716" s="402" t="s">
        <v>1698</v>
      </c>
      <c r="M716" s="402">
        <v>-2577</v>
      </c>
      <c r="N716" s="402">
        <v>-70620</v>
      </c>
      <c r="O716" s="402">
        <v>-2577</v>
      </c>
      <c r="P716" s="402">
        <v>0</v>
      </c>
      <c r="Q716" s="402">
        <v>0</v>
      </c>
      <c r="R716" s="402">
        <v>0</v>
      </c>
      <c r="S716" s="402">
        <v>0</v>
      </c>
      <c r="T716" s="402">
        <v>0</v>
      </c>
      <c r="U716" s="402">
        <v>0</v>
      </c>
      <c r="V716" s="402">
        <v>0</v>
      </c>
      <c r="W716" s="402">
        <v>0</v>
      </c>
      <c r="X716" s="402">
        <v>0</v>
      </c>
      <c r="Y716" s="402">
        <v>0</v>
      </c>
      <c r="Z716" s="402">
        <v>0</v>
      </c>
      <c r="AA716" s="402">
        <v>-2577</v>
      </c>
    </row>
    <row r="717" spans="10:27" ht="15" customHeight="1" x14ac:dyDescent="0.25">
      <c r="J717" s="400" t="s">
        <v>336</v>
      </c>
      <c r="K717" s="408" t="s">
        <v>1699</v>
      </c>
      <c r="L717" s="402" t="s">
        <v>1700</v>
      </c>
      <c r="M717" s="402">
        <v>-299219</v>
      </c>
      <c r="N717" s="402">
        <v>-62004</v>
      </c>
      <c r="O717" s="402">
        <v>-18920</v>
      </c>
      <c r="P717" s="402">
        <v>-19784</v>
      </c>
      <c r="Q717" s="402">
        <v>-19298</v>
      </c>
      <c r="R717" s="402">
        <v>-18896</v>
      </c>
      <c r="S717" s="402">
        <v>-13566</v>
      </c>
      <c r="T717" s="402">
        <v>-19841</v>
      </c>
      <c r="U717" s="402">
        <v>-23436</v>
      </c>
      <c r="V717" s="402">
        <v>-27734</v>
      </c>
      <c r="W717" s="402">
        <v>-30787</v>
      </c>
      <c r="X717" s="402">
        <v>-34135</v>
      </c>
      <c r="Y717" s="402">
        <v>-36298</v>
      </c>
      <c r="Z717" s="402">
        <v>-36524</v>
      </c>
      <c r="AA717" s="402">
        <v>-299219</v>
      </c>
    </row>
    <row r="718" spans="10:27" ht="15" customHeight="1" x14ac:dyDescent="0.25">
      <c r="J718" s="400" t="s">
        <v>336</v>
      </c>
      <c r="K718" s="408" t="s">
        <v>1701</v>
      </c>
      <c r="L718" s="402" t="s">
        <v>1702</v>
      </c>
      <c r="M718" s="402">
        <v>-241878</v>
      </c>
      <c r="N718" s="402">
        <v>-147018</v>
      </c>
      <c r="O718" s="402">
        <v>-36669</v>
      </c>
      <c r="P718" s="402">
        <v>-33341</v>
      </c>
      <c r="Q718" s="402">
        <v>-35545</v>
      </c>
      <c r="R718" s="402">
        <v>-34370</v>
      </c>
      <c r="S718" s="402">
        <v>-34804</v>
      </c>
      <c r="T718" s="402">
        <v>-34939</v>
      </c>
      <c r="U718" s="402">
        <v>-32210</v>
      </c>
      <c r="V718" s="402">
        <v>0</v>
      </c>
      <c r="W718" s="402">
        <v>0</v>
      </c>
      <c r="X718" s="402">
        <v>0</v>
      </c>
      <c r="Y718" s="402">
        <v>0</v>
      </c>
      <c r="Z718" s="402">
        <v>0</v>
      </c>
      <c r="AA718" s="402">
        <v>-241878</v>
      </c>
    </row>
    <row r="719" spans="10:27" ht="15" customHeight="1" x14ac:dyDescent="0.25">
      <c r="J719" s="400" t="s">
        <v>336</v>
      </c>
      <c r="K719" s="408" t="s">
        <v>1703</v>
      </c>
      <c r="L719" s="402" t="s">
        <v>1704</v>
      </c>
      <c r="M719" s="402">
        <v>31.41</v>
      </c>
      <c r="N719" s="402">
        <v>0</v>
      </c>
      <c r="O719" s="402">
        <v>9.76</v>
      </c>
      <c r="P719" s="402">
        <v>2.0099999999999998</v>
      </c>
      <c r="Q719" s="402">
        <v>3.65</v>
      </c>
      <c r="R719" s="402">
        <v>4.0599999999999996</v>
      </c>
      <c r="S719" s="402">
        <v>4.7300000000000004</v>
      </c>
      <c r="T719" s="402">
        <v>7.2</v>
      </c>
      <c r="U719" s="402">
        <v>0</v>
      </c>
      <c r="V719" s="402">
        <v>0</v>
      </c>
      <c r="W719" s="402">
        <v>0</v>
      </c>
      <c r="X719" s="402">
        <v>0</v>
      </c>
      <c r="Y719" s="402">
        <v>0</v>
      </c>
      <c r="Z719" s="402">
        <v>0</v>
      </c>
      <c r="AA719" s="402">
        <v>31.41</v>
      </c>
    </row>
    <row r="720" spans="10:27" ht="15" customHeight="1" x14ac:dyDescent="0.25">
      <c r="J720" s="400" t="s">
        <v>336</v>
      </c>
      <c r="K720" s="408" t="s">
        <v>1705</v>
      </c>
      <c r="L720" s="402" t="s">
        <v>1706</v>
      </c>
      <c r="M720" s="402">
        <v>-2940048.48</v>
      </c>
      <c r="N720" s="402">
        <v>0</v>
      </c>
      <c r="O720" s="402">
        <v>-324591.24</v>
      </c>
      <c r="P720" s="402">
        <v>-346051.99</v>
      </c>
      <c r="Q720" s="402">
        <v>-370927.38</v>
      </c>
      <c r="R720" s="402">
        <v>-411377.17</v>
      </c>
      <c r="S720" s="402">
        <v>-449138.58</v>
      </c>
      <c r="T720" s="402">
        <v>-492707.55</v>
      </c>
      <c r="U720" s="402">
        <v>-545254.56999999995</v>
      </c>
      <c r="V720" s="402">
        <v>0</v>
      </c>
      <c r="W720" s="402">
        <v>0</v>
      </c>
      <c r="X720" s="402">
        <v>0</v>
      </c>
      <c r="Y720" s="402">
        <v>0</v>
      </c>
      <c r="Z720" s="402">
        <v>0</v>
      </c>
      <c r="AA720" s="402">
        <v>-2940048.48</v>
      </c>
    </row>
    <row r="721" spans="10:27" ht="15" customHeight="1" x14ac:dyDescent="0.25">
      <c r="J721" s="400" t="s">
        <v>336</v>
      </c>
      <c r="K721" s="408" t="s">
        <v>1707</v>
      </c>
      <c r="L721" s="402" t="s">
        <v>1708</v>
      </c>
      <c r="M721" s="402">
        <v>-227571</v>
      </c>
      <c r="N721" s="402">
        <v>-169430</v>
      </c>
      <c r="O721" s="402">
        <v>-43185</v>
      </c>
      <c r="P721" s="402">
        <v>-37886</v>
      </c>
      <c r="Q721" s="402">
        <v>-36586</v>
      </c>
      <c r="R721" s="402">
        <v>-30710</v>
      </c>
      <c r="S721" s="402">
        <v>-28711</v>
      </c>
      <c r="T721" s="402">
        <v>-26043</v>
      </c>
      <c r="U721" s="402">
        <v>-24450</v>
      </c>
      <c r="V721" s="402">
        <v>0</v>
      </c>
      <c r="W721" s="402">
        <v>0</v>
      </c>
      <c r="X721" s="402">
        <v>0</v>
      </c>
      <c r="Y721" s="402">
        <v>0</v>
      </c>
      <c r="Z721" s="402">
        <v>0</v>
      </c>
      <c r="AA721" s="402">
        <v>-227571</v>
      </c>
    </row>
    <row r="722" spans="10:27" ht="15" customHeight="1" x14ac:dyDescent="0.25">
      <c r="J722" s="400" t="s">
        <v>336</v>
      </c>
      <c r="K722" s="408" t="s">
        <v>1709</v>
      </c>
      <c r="L722" s="402" t="s">
        <v>1710</v>
      </c>
      <c r="M722" s="402">
        <v>1224061.5375824</v>
      </c>
      <c r="N722" s="402">
        <v>2648717.3513230002</v>
      </c>
      <c r="O722" s="402">
        <v>0</v>
      </c>
      <c r="P722" s="402">
        <v>0</v>
      </c>
      <c r="Q722" s="402">
        <v>0</v>
      </c>
      <c r="R722" s="402">
        <v>0</v>
      </c>
      <c r="S722" s="402">
        <v>0</v>
      </c>
      <c r="T722" s="402">
        <v>0</v>
      </c>
      <c r="U722" s="402">
        <v>0</v>
      </c>
      <c r="V722" s="402">
        <v>244608.3822468</v>
      </c>
      <c r="W722" s="402">
        <v>244710.302406</v>
      </c>
      <c r="X722" s="402">
        <v>244812.2650321</v>
      </c>
      <c r="Y722" s="402">
        <v>244914.2701425</v>
      </c>
      <c r="Z722" s="402">
        <v>245016.317755</v>
      </c>
      <c r="AA722" s="402">
        <v>1224061.5375824</v>
      </c>
    </row>
    <row r="723" spans="10:27" ht="15" customHeight="1" x14ac:dyDescent="0.25">
      <c r="J723" s="400" t="s">
        <v>336</v>
      </c>
      <c r="K723" s="408" t="s">
        <v>1711</v>
      </c>
      <c r="L723" s="402" t="s">
        <v>1712</v>
      </c>
      <c r="M723" s="402">
        <v>361811.85</v>
      </c>
      <c r="N723" s="402">
        <v>705148.44</v>
      </c>
      <c r="O723" s="402">
        <v>0</v>
      </c>
      <c r="P723" s="402">
        <v>0</v>
      </c>
      <c r="Q723" s="402">
        <v>0</v>
      </c>
      <c r="R723" s="402">
        <v>0</v>
      </c>
      <c r="S723" s="402">
        <v>0</v>
      </c>
      <c r="T723" s="402">
        <v>0</v>
      </c>
      <c r="U723" s="402">
        <v>0</v>
      </c>
      <c r="V723" s="402">
        <v>58762.37</v>
      </c>
      <c r="W723" s="402">
        <v>58762.37</v>
      </c>
      <c r="X723" s="402">
        <v>58762.37</v>
      </c>
      <c r="Y723" s="402">
        <v>58762.37</v>
      </c>
      <c r="Z723" s="402">
        <v>126762.37</v>
      </c>
      <c r="AA723" s="402">
        <v>361811.85</v>
      </c>
    </row>
    <row r="724" spans="10:27" ht="15" customHeight="1" x14ac:dyDescent="0.25">
      <c r="J724" s="400" t="s">
        <v>336</v>
      </c>
      <c r="K724" s="408" t="s">
        <v>1713</v>
      </c>
      <c r="L724" s="402" t="s">
        <v>1714</v>
      </c>
      <c r="M724" s="402">
        <v>290609.32</v>
      </c>
      <c r="N724" s="402">
        <v>260221.42</v>
      </c>
      <c r="O724" s="402">
        <v>0</v>
      </c>
      <c r="P724" s="402">
        <v>0</v>
      </c>
      <c r="Q724" s="402">
        <v>0</v>
      </c>
      <c r="R724" s="402">
        <v>0</v>
      </c>
      <c r="S724" s="402">
        <v>0</v>
      </c>
      <c r="T724" s="402">
        <v>0</v>
      </c>
      <c r="U724" s="402">
        <v>0</v>
      </c>
      <c r="V724" s="402">
        <v>61104.11</v>
      </c>
      <c r="W724" s="402">
        <v>61104.11</v>
      </c>
      <c r="X724" s="402">
        <v>61104.11</v>
      </c>
      <c r="Y724" s="402">
        <v>61104.11</v>
      </c>
      <c r="Z724" s="402">
        <v>46192.88</v>
      </c>
      <c r="AA724" s="402">
        <v>290609.32</v>
      </c>
    </row>
    <row r="725" spans="10:27" ht="15" customHeight="1" x14ac:dyDescent="0.25">
      <c r="J725" s="400" t="s">
        <v>336</v>
      </c>
      <c r="K725" s="408" t="s">
        <v>1715</v>
      </c>
      <c r="L725" s="402" t="s">
        <v>1716</v>
      </c>
      <c r="M725" s="402">
        <v>-136736</v>
      </c>
      <c r="N725" s="402">
        <v>0</v>
      </c>
      <c r="O725" s="402">
        <v>0</v>
      </c>
      <c r="P725" s="402">
        <v>0</v>
      </c>
      <c r="Q725" s="402">
        <v>0</v>
      </c>
      <c r="R725" s="402">
        <v>0</v>
      </c>
      <c r="S725" s="402">
        <v>0</v>
      </c>
      <c r="T725" s="402">
        <v>0</v>
      </c>
      <c r="U725" s="402">
        <v>0</v>
      </c>
      <c r="V725" s="402">
        <v>-23797</v>
      </c>
      <c r="W725" s="402">
        <v>-26848</v>
      </c>
      <c r="X725" s="402">
        <v>-28893</v>
      </c>
      <c r="Y725" s="402">
        <v>-29154</v>
      </c>
      <c r="Z725" s="402">
        <v>-28044</v>
      </c>
      <c r="AA725" s="402">
        <v>-136736</v>
      </c>
    </row>
    <row r="726" spans="10:27" ht="15" customHeight="1" x14ac:dyDescent="0.25">
      <c r="J726" s="400" t="s">
        <v>336</v>
      </c>
      <c r="K726" s="408" t="s">
        <v>1717</v>
      </c>
      <c r="L726" s="402" t="s">
        <v>1718</v>
      </c>
      <c r="M726" s="402">
        <v>-181479</v>
      </c>
      <c r="N726" s="402">
        <v>0</v>
      </c>
      <c r="O726" s="402">
        <v>0</v>
      </c>
      <c r="P726" s="402">
        <v>0</v>
      </c>
      <c r="Q726" s="402">
        <v>0</v>
      </c>
      <c r="R726" s="402">
        <v>0</v>
      </c>
      <c r="S726" s="402">
        <v>0</v>
      </c>
      <c r="T726" s="402">
        <v>0</v>
      </c>
      <c r="U726" s="402">
        <v>0</v>
      </c>
      <c r="V726" s="402">
        <v>-36301</v>
      </c>
      <c r="W726" s="402">
        <v>-36370</v>
      </c>
      <c r="X726" s="402">
        <v>-37015</v>
      </c>
      <c r="Y726" s="402">
        <v>-36600</v>
      </c>
      <c r="Z726" s="402">
        <v>-35193</v>
      </c>
      <c r="AA726" s="402">
        <v>-181479</v>
      </c>
    </row>
    <row r="727" spans="10:27" ht="15" customHeight="1" x14ac:dyDescent="0.25">
      <c r="J727" s="400" t="s">
        <v>336</v>
      </c>
      <c r="K727" s="408" t="s">
        <v>1719</v>
      </c>
      <c r="L727" s="402" t="s">
        <v>1720</v>
      </c>
      <c r="M727" s="402">
        <v>-72205</v>
      </c>
      <c r="N727" s="402">
        <v>0</v>
      </c>
      <c r="O727" s="402">
        <v>0</v>
      </c>
      <c r="P727" s="402">
        <v>0</v>
      </c>
      <c r="Q727" s="402">
        <v>0</v>
      </c>
      <c r="R727" s="402">
        <v>0</v>
      </c>
      <c r="S727" s="402">
        <v>0</v>
      </c>
      <c r="T727" s="402">
        <v>0</v>
      </c>
      <c r="U727" s="402">
        <v>0</v>
      </c>
      <c r="V727" s="402">
        <v>-22836</v>
      </c>
      <c r="W727" s="402">
        <v>-21126</v>
      </c>
      <c r="X727" s="402">
        <v>-18307</v>
      </c>
      <c r="Y727" s="402">
        <v>-9936</v>
      </c>
      <c r="Z727" s="402">
        <v>0</v>
      </c>
      <c r="AA727" s="402">
        <v>-72205</v>
      </c>
    </row>
    <row r="728" spans="10:27" ht="15" customHeight="1" x14ac:dyDescent="0.25">
      <c r="J728" s="400" t="s">
        <v>336</v>
      </c>
      <c r="K728" s="408" t="s">
        <v>1721</v>
      </c>
      <c r="L728" s="402" t="s">
        <v>1722</v>
      </c>
      <c r="M728" s="402">
        <v>36102.449999999997</v>
      </c>
      <c r="N728" s="402">
        <v>0</v>
      </c>
      <c r="O728" s="402">
        <v>4227.92</v>
      </c>
      <c r="P728" s="402">
        <v>4213.1899999999996</v>
      </c>
      <c r="Q728" s="402">
        <v>5647.49</v>
      </c>
      <c r="R728" s="402">
        <v>5588.92</v>
      </c>
      <c r="S728" s="402">
        <v>5532.37</v>
      </c>
      <c r="T728" s="402">
        <v>5475</v>
      </c>
      <c r="U728" s="402">
        <v>5417.56</v>
      </c>
      <c r="V728" s="402">
        <v>0</v>
      </c>
      <c r="W728" s="402">
        <v>0</v>
      </c>
      <c r="X728" s="402">
        <v>0</v>
      </c>
      <c r="Y728" s="402">
        <v>0</v>
      </c>
      <c r="Z728" s="402">
        <v>0</v>
      </c>
      <c r="AA728" s="402">
        <v>36102.449999999997</v>
      </c>
    </row>
    <row r="729" spans="10:27" ht="15" customHeight="1" x14ac:dyDescent="0.25">
      <c r="J729" s="400" t="s">
        <v>336</v>
      </c>
      <c r="K729" s="408" t="s">
        <v>1723</v>
      </c>
      <c r="L729" s="402" t="s">
        <v>1724</v>
      </c>
      <c r="M729" s="402">
        <v>26223.262187699998</v>
      </c>
      <c r="N729" s="402">
        <v>48432.73</v>
      </c>
      <c r="O729" s="402">
        <v>0</v>
      </c>
      <c r="P729" s="402">
        <v>0</v>
      </c>
      <c r="Q729" s="402">
        <v>0</v>
      </c>
      <c r="R729" s="402">
        <v>0</v>
      </c>
      <c r="S729" s="402">
        <v>0</v>
      </c>
      <c r="T729" s="402">
        <v>0</v>
      </c>
      <c r="U729" s="402">
        <v>0</v>
      </c>
      <c r="V729" s="402">
        <v>5360.0302565000002</v>
      </c>
      <c r="W729" s="402">
        <v>5302.4225243999999</v>
      </c>
      <c r="X729" s="402">
        <v>5244.7336721000001</v>
      </c>
      <c r="Y729" s="402">
        <v>5186.9635852000001</v>
      </c>
      <c r="Z729" s="402">
        <v>5129.1121494999998</v>
      </c>
      <c r="AA729" s="402">
        <v>26223.262187699998</v>
      </c>
    </row>
    <row r="730" spans="10:27" ht="15" customHeight="1" x14ac:dyDescent="0.25">
      <c r="J730" s="400" t="s">
        <v>336</v>
      </c>
      <c r="K730" s="408" t="s">
        <v>1725</v>
      </c>
      <c r="L730" s="402" t="s">
        <v>1726</v>
      </c>
      <c r="M730" s="402">
        <v>-75311.89</v>
      </c>
      <c r="N730" s="402">
        <v>-49158.58</v>
      </c>
      <c r="O730" s="402">
        <v>-7848.89</v>
      </c>
      <c r="P730" s="402">
        <v>-8286.15</v>
      </c>
      <c r="Q730" s="402">
        <v>-8985.1</v>
      </c>
      <c r="R730" s="402">
        <v>-10791.81</v>
      </c>
      <c r="S730" s="402">
        <v>-12545.22</v>
      </c>
      <c r="T730" s="402">
        <v>-12941.72</v>
      </c>
      <c r="U730" s="402">
        <v>-13913</v>
      </c>
      <c r="V730" s="402">
        <v>0</v>
      </c>
      <c r="W730" s="402">
        <v>0</v>
      </c>
      <c r="X730" s="402">
        <v>0</v>
      </c>
      <c r="Y730" s="402">
        <v>0</v>
      </c>
      <c r="Z730" s="402">
        <v>0</v>
      </c>
      <c r="AA730" s="402">
        <v>-75311.89</v>
      </c>
    </row>
    <row r="731" spans="10:27" ht="15" customHeight="1" x14ac:dyDescent="0.25">
      <c r="J731" s="400" t="s">
        <v>336</v>
      </c>
      <c r="K731" s="408" t="s">
        <v>1727</v>
      </c>
      <c r="L731" s="402" t="s">
        <v>1728</v>
      </c>
      <c r="M731" s="402">
        <v>-72228.11</v>
      </c>
      <c r="N731" s="402">
        <v>0</v>
      </c>
      <c r="O731" s="402">
        <v>0</v>
      </c>
      <c r="P731" s="402">
        <v>0</v>
      </c>
      <c r="Q731" s="402">
        <v>0</v>
      </c>
      <c r="R731" s="402">
        <v>0</v>
      </c>
      <c r="S731" s="402">
        <v>0</v>
      </c>
      <c r="T731" s="402">
        <v>0</v>
      </c>
      <c r="U731" s="402">
        <v>0</v>
      </c>
      <c r="V731" s="402">
        <v>-15004.48</v>
      </c>
      <c r="W731" s="402">
        <v>-14690.37</v>
      </c>
      <c r="X731" s="402">
        <v>-14483.79</v>
      </c>
      <c r="Y731" s="402">
        <v>-14309.45</v>
      </c>
      <c r="Z731" s="402">
        <v>-13740.02</v>
      </c>
      <c r="AA731" s="402">
        <v>-72228.11</v>
      </c>
    </row>
    <row r="732" spans="10:27" ht="15" customHeight="1" x14ac:dyDescent="0.2">
      <c r="J732" s="392" t="s">
        <v>336</v>
      </c>
      <c r="K732" s="396" t="s">
        <v>1729</v>
      </c>
      <c r="L732" s="392" t="s">
        <v>1730</v>
      </c>
      <c r="M732" s="393">
        <v>-6229409.5</v>
      </c>
      <c r="N732" s="393">
        <v>-5904379.54</v>
      </c>
      <c r="O732" s="393">
        <v>-324591.24</v>
      </c>
      <c r="P732" s="393">
        <v>-346051.99</v>
      </c>
      <c r="Q732" s="393">
        <v>-370927.38</v>
      </c>
      <c r="R732" s="393">
        <v>-411377.17</v>
      </c>
      <c r="S732" s="393">
        <v>-449138.58</v>
      </c>
      <c r="T732" s="393">
        <v>-492707.55</v>
      </c>
      <c r="U732" s="393">
        <v>-545254.56999999995</v>
      </c>
      <c r="V732" s="393">
        <v>-597839.44999999995</v>
      </c>
      <c r="W732" s="393">
        <v>-643683.78</v>
      </c>
      <c r="X732" s="393">
        <v>-695801.3</v>
      </c>
      <c r="Y732" s="393">
        <v>-745671.17</v>
      </c>
      <c r="Z732" s="393">
        <v>-606365.31999999995</v>
      </c>
      <c r="AA732" s="393">
        <v>-6229409.5</v>
      </c>
    </row>
    <row r="733" spans="10:27" ht="15" customHeight="1" x14ac:dyDescent="0.25">
      <c r="J733" s="400" t="s">
        <v>336</v>
      </c>
      <c r="K733" s="409" t="s">
        <v>1731</v>
      </c>
      <c r="L733" s="402" t="s">
        <v>1732</v>
      </c>
      <c r="M733" s="402">
        <v>-6229409.5</v>
      </c>
      <c r="N733" s="402">
        <v>-5904379.54</v>
      </c>
      <c r="O733" s="402">
        <v>-324591.24</v>
      </c>
      <c r="P733" s="402">
        <v>-346051.99</v>
      </c>
      <c r="Q733" s="402">
        <v>-370927.38</v>
      </c>
      <c r="R733" s="402">
        <v>-411377.17</v>
      </c>
      <c r="S733" s="402">
        <v>-449138.58</v>
      </c>
      <c r="T733" s="402">
        <v>-492707.55</v>
      </c>
      <c r="U733" s="402">
        <v>-545254.56999999995</v>
      </c>
      <c r="V733" s="402">
        <v>-597839.44999999995</v>
      </c>
      <c r="W733" s="402">
        <v>-643683.78</v>
      </c>
      <c r="X733" s="402">
        <v>-695801.3</v>
      </c>
      <c r="Y733" s="402">
        <v>-745671.17</v>
      </c>
      <c r="Z733" s="402">
        <v>-606365.31999999995</v>
      </c>
      <c r="AA733" s="402">
        <v>-6229409.5</v>
      </c>
    </row>
    <row r="734" spans="10:27" ht="15" customHeight="1" x14ac:dyDescent="0.2">
      <c r="J734" s="392" t="s">
        <v>336</v>
      </c>
      <c r="K734" s="395" t="s">
        <v>1733</v>
      </c>
      <c r="L734" s="392" t="s">
        <v>1734</v>
      </c>
      <c r="M734" s="393">
        <v>90768017.430000007</v>
      </c>
      <c r="N734" s="393">
        <v>119441067.21589839</v>
      </c>
      <c r="O734" s="393">
        <v>6241190.6100000003</v>
      </c>
      <c r="P734" s="393">
        <v>2565299.2000000002</v>
      </c>
      <c r="Q734" s="393">
        <v>6411793.7800000003</v>
      </c>
      <c r="R734" s="393">
        <v>5867857.9699999997</v>
      </c>
      <c r="S734" s="393">
        <v>8897810.0800000001</v>
      </c>
      <c r="T734" s="393">
        <v>8618988.4299999997</v>
      </c>
      <c r="U734" s="393">
        <v>13622813.42</v>
      </c>
      <c r="V734" s="393">
        <v>15284208.67</v>
      </c>
      <c r="W734" s="393">
        <v>5155333.41</v>
      </c>
      <c r="X734" s="393">
        <v>9514847.6300000008</v>
      </c>
      <c r="Y734" s="393">
        <v>3363573.82</v>
      </c>
      <c r="Z734" s="393">
        <v>5224300.41</v>
      </c>
      <c r="AA734" s="393">
        <v>90768017.430000007</v>
      </c>
    </row>
    <row r="735" spans="10:27" ht="15" customHeight="1" x14ac:dyDescent="0.2">
      <c r="J735" s="392" t="s">
        <v>336</v>
      </c>
      <c r="K735" s="396" t="s">
        <v>1735</v>
      </c>
      <c r="L735" s="392" t="s">
        <v>1736</v>
      </c>
      <c r="M735" s="393">
        <v>120571706.68000001</v>
      </c>
      <c r="N735" s="393">
        <v>94504367.055898398</v>
      </c>
      <c r="O735" s="393">
        <v>4429525.1500000004</v>
      </c>
      <c r="P735" s="393">
        <v>4259820.3099999996</v>
      </c>
      <c r="Q735" s="393">
        <v>-7297390.8099999996</v>
      </c>
      <c r="R735" s="393">
        <v>11460286.119999999</v>
      </c>
      <c r="S735" s="393">
        <v>17610775.18</v>
      </c>
      <c r="T735" s="393">
        <v>11088657.380000001</v>
      </c>
      <c r="U735" s="393">
        <v>24452684.850000001</v>
      </c>
      <c r="V735" s="393">
        <v>24242058.18</v>
      </c>
      <c r="W735" s="393">
        <v>8193243.6399999997</v>
      </c>
      <c r="X735" s="393">
        <v>18613878.359999999</v>
      </c>
      <c r="Y735" s="393">
        <v>9406131.9499999993</v>
      </c>
      <c r="Z735" s="393">
        <v>-5887963.6299999999</v>
      </c>
      <c r="AA735" s="393">
        <v>120571706.68000001</v>
      </c>
    </row>
    <row r="736" spans="10:27" ht="15" customHeight="1" x14ac:dyDescent="0.25">
      <c r="J736" s="400" t="s">
        <v>336</v>
      </c>
      <c r="K736" s="409" t="s">
        <v>1737</v>
      </c>
      <c r="L736" s="402" t="s">
        <v>1738</v>
      </c>
      <c r="M736" s="402">
        <v>1467880.37</v>
      </c>
      <c r="N736" s="402">
        <v>713606.35</v>
      </c>
      <c r="O736" s="402">
        <v>97097.56</v>
      </c>
      <c r="P736" s="402">
        <v>104352.74</v>
      </c>
      <c r="Q736" s="402">
        <v>120325</v>
      </c>
      <c r="R736" s="402">
        <v>105385.06</v>
      </c>
      <c r="S736" s="402">
        <v>81035.98</v>
      </c>
      <c r="T736" s="402">
        <v>138440.53</v>
      </c>
      <c r="U736" s="402">
        <v>89366.51</v>
      </c>
      <c r="V736" s="402">
        <v>173055.02</v>
      </c>
      <c r="W736" s="402">
        <v>189923.26</v>
      </c>
      <c r="X736" s="402">
        <v>107129.93</v>
      </c>
      <c r="Y736" s="402">
        <v>144716.35</v>
      </c>
      <c r="Z736" s="402">
        <v>117052.43</v>
      </c>
      <c r="AA736" s="402">
        <v>1467880.37</v>
      </c>
    </row>
    <row r="737" spans="10:27" ht="15" customHeight="1" x14ac:dyDescent="0.25">
      <c r="J737" s="400" t="s">
        <v>336</v>
      </c>
      <c r="K737" s="409" t="s">
        <v>1739</v>
      </c>
      <c r="L737" s="402" t="s">
        <v>1740</v>
      </c>
      <c r="M737" s="402">
        <v>92128273.540000007</v>
      </c>
      <c r="N737" s="402">
        <v>72555298.392508</v>
      </c>
      <c r="O737" s="402">
        <v>3638479.34</v>
      </c>
      <c r="P737" s="402">
        <v>3498348.08</v>
      </c>
      <c r="Q737" s="402">
        <v>-6066855.7599999998</v>
      </c>
      <c r="R737" s="402">
        <v>9135241.1899999995</v>
      </c>
      <c r="S737" s="402">
        <v>13975390.439999999</v>
      </c>
      <c r="T737" s="402">
        <v>7788770.3300000001</v>
      </c>
      <c r="U737" s="402">
        <v>19324235.100000001</v>
      </c>
      <c r="V737" s="402">
        <v>19075627.039999999</v>
      </c>
      <c r="W737" s="402">
        <v>5244722.72</v>
      </c>
      <c r="X737" s="402">
        <v>14734717.310000001</v>
      </c>
      <c r="Y737" s="402">
        <v>7487514.4800000004</v>
      </c>
      <c r="Z737" s="402">
        <v>-5707916.7300000004</v>
      </c>
      <c r="AA737" s="402">
        <v>92128273.540000007</v>
      </c>
    </row>
    <row r="738" spans="10:27" ht="15" customHeight="1" x14ac:dyDescent="0.25">
      <c r="J738" s="400" t="s">
        <v>336</v>
      </c>
      <c r="K738" s="409" t="s">
        <v>1741</v>
      </c>
      <c r="L738" s="402" t="s">
        <v>1742</v>
      </c>
      <c r="M738" s="402">
        <v>406819.96</v>
      </c>
      <c r="N738" s="402">
        <v>511164.81339040003</v>
      </c>
      <c r="O738" s="402">
        <v>26910.38</v>
      </c>
      <c r="P738" s="402">
        <v>28921.15</v>
      </c>
      <c r="Q738" s="402">
        <v>33347.82</v>
      </c>
      <c r="R738" s="402">
        <v>29207.24</v>
      </c>
      <c r="S738" s="402">
        <v>22458.95</v>
      </c>
      <c r="T738" s="402">
        <v>38368.51</v>
      </c>
      <c r="U738" s="402">
        <v>24767.74</v>
      </c>
      <c r="V738" s="402">
        <v>47961.83</v>
      </c>
      <c r="W738" s="402">
        <v>52636.84</v>
      </c>
      <c r="X738" s="402">
        <v>29690.83</v>
      </c>
      <c r="Y738" s="402">
        <v>40107.83</v>
      </c>
      <c r="Z738" s="402">
        <v>32440.84</v>
      </c>
      <c r="AA738" s="402">
        <v>406819.96</v>
      </c>
    </row>
    <row r="739" spans="10:27" ht="15" customHeight="1" x14ac:dyDescent="0.25">
      <c r="J739" s="400" t="s">
        <v>336</v>
      </c>
      <c r="K739" s="409" t="s">
        <v>1743</v>
      </c>
      <c r="L739" s="402" t="s">
        <v>1744</v>
      </c>
      <c r="M739" s="402">
        <v>26568732.809999999</v>
      </c>
      <c r="N739" s="402">
        <v>20724297.5</v>
      </c>
      <c r="O739" s="402">
        <v>667037.87</v>
      </c>
      <c r="P739" s="402">
        <v>628198.34</v>
      </c>
      <c r="Q739" s="402">
        <v>-1384207.87</v>
      </c>
      <c r="R739" s="402">
        <v>2190452.63</v>
      </c>
      <c r="S739" s="402">
        <v>3531889.81</v>
      </c>
      <c r="T739" s="402">
        <v>3123078.01</v>
      </c>
      <c r="U739" s="402">
        <v>5014315.5</v>
      </c>
      <c r="V739" s="402">
        <v>4945414.29</v>
      </c>
      <c r="W739" s="402">
        <v>2705960.82</v>
      </c>
      <c r="X739" s="402">
        <v>3742340.29</v>
      </c>
      <c r="Y739" s="402">
        <v>1733793.29</v>
      </c>
      <c r="Z739" s="402">
        <v>-329540.17</v>
      </c>
      <c r="AA739" s="402">
        <v>26568732.809999999</v>
      </c>
    </row>
    <row r="740" spans="10:27" ht="15" customHeight="1" x14ac:dyDescent="0.2">
      <c r="J740" s="392" t="s">
        <v>336</v>
      </c>
      <c r="K740" s="396" t="s">
        <v>1745</v>
      </c>
      <c r="L740" s="392" t="s">
        <v>1746</v>
      </c>
      <c r="M740" s="393">
        <v>-23342947.510000002</v>
      </c>
      <c r="N740" s="393">
        <v>-64994709.219999999</v>
      </c>
      <c r="O740" s="393">
        <v>2356529.59</v>
      </c>
      <c r="P740" s="393">
        <v>-1149656.94</v>
      </c>
      <c r="Q740" s="393">
        <v>13172222.109999999</v>
      </c>
      <c r="R740" s="393">
        <v>-4691157.49</v>
      </c>
      <c r="S740" s="393">
        <v>-8036369.5199999996</v>
      </c>
      <c r="T740" s="393">
        <v>-1829196.95</v>
      </c>
      <c r="U740" s="393">
        <v>-10160110.880000001</v>
      </c>
      <c r="V740" s="393">
        <v>-8290919.21</v>
      </c>
      <c r="W740" s="393">
        <v>-2368620.92</v>
      </c>
      <c r="X740" s="393">
        <v>-8429741.5</v>
      </c>
      <c r="Y740" s="393">
        <v>-5373268.8300000001</v>
      </c>
      <c r="Z740" s="393">
        <v>11457343.029999999</v>
      </c>
      <c r="AA740" s="393">
        <v>-23342947.510000002</v>
      </c>
    </row>
    <row r="741" spans="10:27" ht="15" customHeight="1" x14ac:dyDescent="0.25">
      <c r="J741" s="400" t="s">
        <v>336</v>
      </c>
      <c r="K741" s="409" t="s">
        <v>1747</v>
      </c>
      <c r="L741" s="402" t="s">
        <v>1748</v>
      </c>
      <c r="M741" s="402">
        <v>171982714.47999999</v>
      </c>
      <c r="N741" s="402">
        <v>171449310.72999999</v>
      </c>
      <c r="O741" s="402">
        <v>9452513.6199999992</v>
      </c>
      <c r="P741" s="402">
        <v>8733332.6999999993</v>
      </c>
      <c r="Q741" s="402">
        <v>22837625.449999999</v>
      </c>
      <c r="R741" s="402">
        <v>10544489.91</v>
      </c>
      <c r="S741" s="402">
        <v>9286822.4299999997</v>
      </c>
      <c r="T741" s="402">
        <v>21047433.98</v>
      </c>
      <c r="U741" s="402">
        <v>9968492.1600000001</v>
      </c>
      <c r="V741" s="402">
        <v>12267321.710000001</v>
      </c>
      <c r="W741" s="402">
        <v>21339320.210000001</v>
      </c>
      <c r="X741" s="402">
        <v>10224174.26</v>
      </c>
      <c r="Y741" s="402">
        <v>10034634.140000001</v>
      </c>
      <c r="Z741" s="402">
        <v>26246553.91</v>
      </c>
      <c r="AA741" s="402">
        <v>171982714.47999999</v>
      </c>
    </row>
    <row r="742" spans="10:27" ht="15" customHeight="1" x14ac:dyDescent="0.25">
      <c r="J742" s="400" t="s">
        <v>336</v>
      </c>
      <c r="K742" s="409" t="s">
        <v>1749</v>
      </c>
      <c r="L742" s="402" t="s">
        <v>1750</v>
      </c>
      <c r="M742" s="402">
        <v>15346.14</v>
      </c>
      <c r="N742" s="402">
        <v>0</v>
      </c>
      <c r="O742" s="402">
        <v>33.619999999999997</v>
      </c>
      <c r="P742" s="402">
        <v>4576.5</v>
      </c>
      <c r="Q742" s="402">
        <v>413.34</v>
      </c>
      <c r="R742" s="402">
        <v>6793.01</v>
      </c>
      <c r="S742" s="402">
        <v>200.9</v>
      </c>
      <c r="T742" s="402">
        <v>466.16</v>
      </c>
      <c r="U742" s="402">
        <v>2862.61</v>
      </c>
      <c r="V742" s="402">
        <v>0</v>
      </c>
      <c r="W742" s="402">
        <v>0</v>
      </c>
      <c r="X742" s="402">
        <v>0</v>
      </c>
      <c r="Y742" s="402">
        <v>0</v>
      </c>
      <c r="Z742" s="402">
        <v>0</v>
      </c>
      <c r="AA742" s="402">
        <v>15346.14</v>
      </c>
    </row>
    <row r="743" spans="10:27" ht="15" customHeight="1" x14ac:dyDescent="0.25">
      <c r="J743" s="400" t="s">
        <v>336</v>
      </c>
      <c r="K743" s="409" t="s">
        <v>1751</v>
      </c>
      <c r="L743" s="402" t="s">
        <v>1752</v>
      </c>
      <c r="M743" s="402">
        <v>-199946520.16999999</v>
      </c>
      <c r="N743" s="402">
        <v>-248811934.81</v>
      </c>
      <c r="O743" s="402">
        <v>-8551293.1799999997</v>
      </c>
      <c r="P743" s="402">
        <v>-10585041.539999999</v>
      </c>
      <c r="Q743" s="402">
        <v>-12778218.960000001</v>
      </c>
      <c r="R743" s="402">
        <v>-15272910.98</v>
      </c>
      <c r="S743" s="402">
        <v>-16682462.02</v>
      </c>
      <c r="T743" s="402">
        <v>-23107474.920000002</v>
      </c>
      <c r="U743" s="402">
        <v>-18981563</v>
      </c>
      <c r="V743" s="402">
        <v>-19902031.449999999</v>
      </c>
      <c r="W743" s="402">
        <v>-24264832.309999999</v>
      </c>
      <c r="X743" s="402">
        <v>-17968989.23</v>
      </c>
      <c r="Y743" s="402">
        <v>-15386247.289999999</v>
      </c>
      <c r="Z743" s="402">
        <v>-16465455.289999999</v>
      </c>
      <c r="AA743" s="402">
        <v>-199946520.16999999</v>
      </c>
    </row>
    <row r="744" spans="10:27" ht="15" customHeight="1" x14ac:dyDescent="0.25">
      <c r="J744" s="400" t="s">
        <v>336</v>
      </c>
      <c r="K744" s="409" t="s">
        <v>1753</v>
      </c>
      <c r="L744" s="402" t="s">
        <v>1754</v>
      </c>
      <c r="M744" s="402">
        <v>-17395.849999999999</v>
      </c>
      <c r="N744" s="402">
        <v>0</v>
      </c>
      <c r="O744" s="402">
        <v>-611.24</v>
      </c>
      <c r="P744" s="402">
        <v>-251.71</v>
      </c>
      <c r="Q744" s="402">
        <v>-7515.2</v>
      </c>
      <c r="R744" s="402">
        <v>-373.62</v>
      </c>
      <c r="S744" s="402">
        <v>-11.05</v>
      </c>
      <c r="T744" s="402">
        <v>-8475.59</v>
      </c>
      <c r="U744" s="402">
        <v>-157.44</v>
      </c>
      <c r="V744" s="402">
        <v>0</v>
      </c>
      <c r="W744" s="402">
        <v>0</v>
      </c>
      <c r="X744" s="402">
        <v>0</v>
      </c>
      <c r="Y744" s="402">
        <v>0</v>
      </c>
      <c r="Z744" s="402">
        <v>0</v>
      </c>
      <c r="AA744" s="402">
        <v>-17395.849999999999</v>
      </c>
    </row>
    <row r="745" spans="10:27" ht="15" customHeight="1" x14ac:dyDescent="0.25">
      <c r="J745" s="400" t="s">
        <v>336</v>
      </c>
      <c r="K745" s="409" t="s">
        <v>1755</v>
      </c>
      <c r="L745" s="402" t="s">
        <v>1756</v>
      </c>
      <c r="M745" s="402">
        <v>1087352.06</v>
      </c>
      <c r="N745" s="402">
        <v>1022174.75</v>
      </c>
      <c r="O745" s="402">
        <v>85181.23</v>
      </c>
      <c r="P745" s="402">
        <v>79112.160000000003</v>
      </c>
      <c r="Q745" s="402">
        <v>84199.27</v>
      </c>
      <c r="R745" s="402">
        <v>82830.92</v>
      </c>
      <c r="S745" s="402">
        <v>82830.91</v>
      </c>
      <c r="T745" s="402">
        <v>128847.78</v>
      </c>
      <c r="U745" s="402">
        <v>90500.4</v>
      </c>
      <c r="V745" s="402">
        <v>91398.7</v>
      </c>
      <c r="W745" s="402">
        <v>90612.67</v>
      </c>
      <c r="X745" s="402">
        <v>90612.67</v>
      </c>
      <c r="Y745" s="402">
        <v>90612.67</v>
      </c>
      <c r="Z745" s="402">
        <v>90612.68</v>
      </c>
      <c r="AA745" s="402">
        <v>1087352.06</v>
      </c>
    </row>
    <row r="746" spans="10:27" ht="15" customHeight="1" x14ac:dyDescent="0.25">
      <c r="J746" s="400" t="s">
        <v>336</v>
      </c>
      <c r="K746" s="409" t="s">
        <v>1757</v>
      </c>
      <c r="L746" s="402" t="s">
        <v>1758</v>
      </c>
      <c r="M746" s="402">
        <v>-59804.36</v>
      </c>
      <c r="N746" s="402">
        <v>-56219.61</v>
      </c>
      <c r="O746" s="402">
        <v>-4684.97</v>
      </c>
      <c r="P746" s="402">
        <v>-4351.17</v>
      </c>
      <c r="Q746" s="402">
        <v>-4630.96</v>
      </c>
      <c r="R746" s="402">
        <v>-4555.7</v>
      </c>
      <c r="S746" s="402">
        <v>-4555.7</v>
      </c>
      <c r="T746" s="402">
        <v>-7086.63</v>
      </c>
      <c r="U746" s="402">
        <v>-4977.5200000000004</v>
      </c>
      <c r="V746" s="402">
        <v>-5026.93</v>
      </c>
      <c r="W746" s="402">
        <v>-4983.6899999999996</v>
      </c>
      <c r="X746" s="402">
        <v>-4983.7</v>
      </c>
      <c r="Y746" s="402">
        <v>-4983.7</v>
      </c>
      <c r="Z746" s="402">
        <v>-4983.6899999999996</v>
      </c>
      <c r="AA746" s="402">
        <v>-59804.36</v>
      </c>
    </row>
    <row r="747" spans="10:27" ht="15" customHeight="1" x14ac:dyDescent="0.25">
      <c r="J747" s="400" t="s">
        <v>336</v>
      </c>
      <c r="K747" s="409" t="s">
        <v>1759</v>
      </c>
      <c r="L747" s="402" t="s">
        <v>1760</v>
      </c>
      <c r="M747" s="402">
        <v>42793888.43</v>
      </c>
      <c r="N747" s="402">
        <v>44303521.100000001</v>
      </c>
      <c r="O747" s="402">
        <v>2977208.66</v>
      </c>
      <c r="P747" s="402">
        <v>2702215.37</v>
      </c>
      <c r="Q747" s="402">
        <v>5117553.17</v>
      </c>
      <c r="R747" s="402">
        <v>3145898.31</v>
      </c>
      <c r="S747" s="402">
        <v>2798979.72</v>
      </c>
      <c r="T747" s="402">
        <v>4581443.7699999996</v>
      </c>
      <c r="U747" s="402">
        <v>2939421.88</v>
      </c>
      <c r="V747" s="402">
        <v>3532061.92</v>
      </c>
      <c r="W747" s="402">
        <v>4421037</v>
      </c>
      <c r="X747" s="402">
        <v>3030185.5</v>
      </c>
      <c r="Y747" s="402">
        <v>3015133.02</v>
      </c>
      <c r="Z747" s="402">
        <v>4532750.1100000003</v>
      </c>
      <c r="AA747" s="402">
        <v>42793888.43</v>
      </c>
    </row>
    <row r="748" spans="10:27" ht="15" customHeight="1" x14ac:dyDescent="0.25">
      <c r="J748" s="400" t="s">
        <v>336</v>
      </c>
      <c r="K748" s="409" t="s">
        <v>1761</v>
      </c>
      <c r="L748" s="402" t="s">
        <v>1762</v>
      </c>
      <c r="M748" s="402">
        <v>3780.08</v>
      </c>
      <c r="N748" s="402">
        <v>0</v>
      </c>
      <c r="O748" s="402">
        <v>0</v>
      </c>
      <c r="P748" s="402">
        <v>1198.6099999999999</v>
      </c>
      <c r="Q748" s="402">
        <v>0</v>
      </c>
      <c r="R748" s="402">
        <v>1779.12</v>
      </c>
      <c r="S748" s="402">
        <v>52.62</v>
      </c>
      <c r="T748" s="402">
        <v>0</v>
      </c>
      <c r="U748" s="402">
        <v>749.73</v>
      </c>
      <c r="V748" s="402">
        <v>0</v>
      </c>
      <c r="W748" s="402">
        <v>0</v>
      </c>
      <c r="X748" s="402">
        <v>0</v>
      </c>
      <c r="Y748" s="402">
        <v>0</v>
      </c>
      <c r="Z748" s="402">
        <v>0</v>
      </c>
      <c r="AA748" s="402">
        <v>3780.08</v>
      </c>
    </row>
    <row r="749" spans="10:27" ht="15" customHeight="1" x14ac:dyDescent="0.25">
      <c r="J749" s="400" t="s">
        <v>336</v>
      </c>
      <c r="K749" s="409" t="s">
        <v>1763</v>
      </c>
      <c r="L749" s="402" t="s">
        <v>1764</v>
      </c>
      <c r="M749" s="402">
        <v>-39519221.759999998</v>
      </c>
      <c r="N749" s="402">
        <v>-33205752.73</v>
      </c>
      <c r="O749" s="402">
        <v>-1627007.34</v>
      </c>
      <c r="P749" s="402">
        <v>-2104207.62</v>
      </c>
      <c r="Q749" s="402">
        <v>-2100327.83</v>
      </c>
      <c r="R749" s="402">
        <v>-3219842.18</v>
      </c>
      <c r="S749" s="402">
        <v>-3542961.05</v>
      </c>
      <c r="T749" s="402">
        <v>-4498917.46</v>
      </c>
      <c r="U749" s="402">
        <v>-4202182.09</v>
      </c>
      <c r="V749" s="402">
        <v>-4301620.83</v>
      </c>
      <c r="W749" s="402">
        <v>-3976546.6</v>
      </c>
      <c r="X749" s="402">
        <v>-3827512.8</v>
      </c>
      <c r="Y749" s="402">
        <v>-3149189.47</v>
      </c>
      <c r="Z749" s="402">
        <v>-2968906.49</v>
      </c>
      <c r="AA749" s="402">
        <v>-39519221.759999998</v>
      </c>
    </row>
    <row r="750" spans="10:27" ht="15" customHeight="1" x14ac:dyDescent="0.25">
      <c r="J750" s="400" t="s">
        <v>336</v>
      </c>
      <c r="K750" s="409" t="s">
        <v>1765</v>
      </c>
      <c r="L750" s="402" t="s">
        <v>1766</v>
      </c>
      <c r="M750" s="402">
        <v>-4348.16</v>
      </c>
      <c r="N750" s="402">
        <v>0</v>
      </c>
      <c r="O750" s="402">
        <v>-160.09</v>
      </c>
      <c r="P750" s="402">
        <v>0</v>
      </c>
      <c r="Q750" s="402">
        <v>-1968.27</v>
      </c>
      <c r="R750" s="402">
        <v>0</v>
      </c>
      <c r="S750" s="402">
        <v>0</v>
      </c>
      <c r="T750" s="402">
        <v>-2219.8000000000002</v>
      </c>
      <c r="U750" s="402">
        <v>0</v>
      </c>
      <c r="V750" s="402">
        <v>0</v>
      </c>
      <c r="W750" s="402">
        <v>0</v>
      </c>
      <c r="X750" s="402">
        <v>0</v>
      </c>
      <c r="Y750" s="402">
        <v>0</v>
      </c>
      <c r="Z750" s="402">
        <v>0</v>
      </c>
      <c r="AA750" s="402">
        <v>-4348.16</v>
      </c>
    </row>
    <row r="751" spans="10:27" ht="15" customHeight="1" x14ac:dyDescent="0.25">
      <c r="J751" s="400" t="s">
        <v>336</v>
      </c>
      <c r="K751" s="409" t="s">
        <v>1767</v>
      </c>
      <c r="L751" s="402" t="s">
        <v>1768</v>
      </c>
      <c r="M751" s="402">
        <v>321261.59999999998</v>
      </c>
      <c r="N751" s="402">
        <v>304191.34999999998</v>
      </c>
      <c r="O751" s="402">
        <v>25349.279999999999</v>
      </c>
      <c r="P751" s="402">
        <v>23759.759999999998</v>
      </c>
      <c r="Q751" s="402">
        <v>25092.1</v>
      </c>
      <c r="R751" s="402">
        <v>24733.72</v>
      </c>
      <c r="S751" s="402">
        <v>24733.72</v>
      </c>
      <c r="T751" s="402">
        <v>36785.760000000002</v>
      </c>
      <c r="U751" s="402">
        <v>26742.39</v>
      </c>
      <c r="V751" s="402">
        <v>26977.67</v>
      </c>
      <c r="W751" s="402">
        <v>26771.8</v>
      </c>
      <c r="X751" s="402">
        <v>26771.8</v>
      </c>
      <c r="Y751" s="402">
        <v>26771.8</v>
      </c>
      <c r="Z751" s="402">
        <v>26771.8</v>
      </c>
      <c r="AA751" s="402">
        <v>321261.59999999998</v>
      </c>
    </row>
    <row r="752" spans="10:27" ht="15" customHeight="1" x14ac:dyDescent="0.2">
      <c r="J752" s="392" t="s">
        <v>336</v>
      </c>
      <c r="K752" s="396" t="s">
        <v>1769</v>
      </c>
      <c r="L752" s="392" t="s">
        <v>1770</v>
      </c>
      <c r="M752" s="393">
        <v>-6460741.7400000002</v>
      </c>
      <c r="N752" s="393">
        <v>89931409.379999995</v>
      </c>
      <c r="O752" s="393">
        <v>-544864.13</v>
      </c>
      <c r="P752" s="393">
        <v>-544864.17000000004</v>
      </c>
      <c r="Q752" s="393">
        <v>536962.48</v>
      </c>
      <c r="R752" s="393">
        <v>-901270.66</v>
      </c>
      <c r="S752" s="393">
        <v>-676595.58</v>
      </c>
      <c r="T752" s="393">
        <v>-640472</v>
      </c>
      <c r="U752" s="393">
        <v>-669760.55000000005</v>
      </c>
      <c r="V752" s="393">
        <v>-666930.30000000005</v>
      </c>
      <c r="W752" s="393">
        <v>-669289.31000000006</v>
      </c>
      <c r="X752" s="393">
        <v>-669289.23</v>
      </c>
      <c r="Y752" s="393">
        <v>-669289.30000000005</v>
      </c>
      <c r="Z752" s="393">
        <v>-345078.99</v>
      </c>
      <c r="AA752" s="393">
        <v>-6460741.7400000002</v>
      </c>
    </row>
    <row r="753" spans="10:27" ht="15" customHeight="1" x14ac:dyDescent="0.25">
      <c r="J753" s="400" t="s">
        <v>336</v>
      </c>
      <c r="K753" s="409" t="s">
        <v>1771</v>
      </c>
      <c r="L753" s="402" t="s">
        <v>1772</v>
      </c>
      <c r="M753" s="402">
        <v>-6460724.4400000004</v>
      </c>
      <c r="N753" s="402">
        <v>89931426.680000007</v>
      </c>
      <c r="O753" s="402">
        <v>-544862.68999999994</v>
      </c>
      <c r="P753" s="402">
        <v>-544862.73</v>
      </c>
      <c r="Q753" s="402">
        <v>536963.93000000005</v>
      </c>
      <c r="R753" s="402">
        <v>-901269.22</v>
      </c>
      <c r="S753" s="402">
        <v>-676594.14</v>
      </c>
      <c r="T753" s="402">
        <v>-640470.56000000006</v>
      </c>
      <c r="U753" s="402">
        <v>-669759.11</v>
      </c>
      <c r="V753" s="402">
        <v>-666928.86</v>
      </c>
      <c r="W753" s="402">
        <v>-669287.86</v>
      </c>
      <c r="X753" s="402">
        <v>-669287.79</v>
      </c>
      <c r="Y753" s="402">
        <v>-669287.86</v>
      </c>
      <c r="Z753" s="402">
        <v>-345077.55</v>
      </c>
      <c r="AA753" s="402">
        <v>-6460724.4400000004</v>
      </c>
    </row>
    <row r="754" spans="10:27" ht="15" customHeight="1" x14ac:dyDescent="0.25">
      <c r="J754" s="400" t="s">
        <v>336</v>
      </c>
      <c r="K754" s="409" t="s">
        <v>1773</v>
      </c>
      <c r="L754" s="402" t="s">
        <v>1774</v>
      </c>
      <c r="M754" s="402">
        <v>-17.3</v>
      </c>
      <c r="N754" s="402">
        <v>-17.3</v>
      </c>
      <c r="O754" s="402">
        <v>-1.44</v>
      </c>
      <c r="P754" s="402">
        <v>-1.44</v>
      </c>
      <c r="Q754" s="402">
        <v>-1.45</v>
      </c>
      <c r="R754" s="402">
        <v>-1.44</v>
      </c>
      <c r="S754" s="402">
        <v>-1.44</v>
      </c>
      <c r="T754" s="402">
        <v>-1.44</v>
      </c>
      <c r="U754" s="402">
        <v>-1.44</v>
      </c>
      <c r="V754" s="402">
        <v>-1.44</v>
      </c>
      <c r="W754" s="402">
        <v>-1.45</v>
      </c>
      <c r="X754" s="402">
        <v>-1.44</v>
      </c>
      <c r="Y754" s="402">
        <v>-1.44</v>
      </c>
      <c r="Z754" s="402">
        <v>-1.44</v>
      </c>
      <c r="AA754" s="402">
        <v>-17.3</v>
      </c>
    </row>
  </sheetData>
  <conditionalFormatting sqref="L4:Z4 G28">
    <cfRule type="expression" dxfId="10" priority="3">
      <formula>#REF!="Y"</formula>
    </cfRule>
  </conditionalFormatting>
  <conditionalFormatting sqref="L4:Z4">
    <cfRule type="expression" dxfId="9" priority="1">
      <formula>#REF!="E"</formula>
    </cfRule>
    <cfRule type="expression" dxfId="8" priority="2">
      <formula>#REF!="Y"</formula>
    </cfRule>
  </conditionalFormatting>
  <dataValidations count="2">
    <dataValidation type="list" allowBlank="1" showInputMessage="1" showErrorMessage="1" sqref="L25" xr:uid="{C86FBA7B-6648-474C-8F24-66B3CADF05D4}">
      <formula1>$I$1:$I$3</formula1>
    </dataValidation>
    <dataValidation type="list" allowBlank="1" showInputMessage="1" showErrorMessage="1" sqref="L21" xr:uid="{8E9F5FCB-5254-405D-A651-2FBA2543FF4B}">
      <formula1>$G$1:$G$5</formula1>
    </dataValidation>
  </dataValidations>
  <pageMargins left="0.7" right="0.7" top="0.75" bottom="0.75" header="0.3" footer="0.3"/>
  <customProperties>
    <customPr name="EpmWorksheetKeyString_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6FAD-A74A-467C-A36F-3CC3FB312E59}">
  <dimension ref="A1:Q2898"/>
  <sheetViews>
    <sheetView topLeftCell="A2578" workbookViewId="0">
      <selection activeCell="A2598" sqref="A2598:N2598"/>
    </sheetView>
  </sheetViews>
  <sheetFormatPr defaultRowHeight="13.2" x14ac:dyDescent="0.25"/>
  <cols>
    <col min="1" max="1" width="17.6640625" bestFit="1" customWidth="1"/>
    <col min="2" max="2" width="46.44140625" bestFit="1" customWidth="1"/>
    <col min="3" max="14" width="15.33203125" style="120" bestFit="1" customWidth="1"/>
  </cols>
  <sheetData>
    <row r="1" spans="1:17" ht="15" x14ac:dyDescent="0.3">
      <c r="A1" s="498"/>
      <c r="B1" s="498"/>
      <c r="C1" s="511" t="s">
        <v>1803</v>
      </c>
      <c r="D1" s="511" t="s">
        <v>1803</v>
      </c>
      <c r="E1" s="511" t="s">
        <v>1803</v>
      </c>
      <c r="F1" s="511" t="s">
        <v>1803</v>
      </c>
      <c r="G1" s="511" t="s">
        <v>1803</v>
      </c>
      <c r="H1" s="511" t="s">
        <v>1803</v>
      </c>
      <c r="I1" s="511" t="s">
        <v>1803</v>
      </c>
      <c r="J1" s="511" t="s">
        <v>1803</v>
      </c>
      <c r="K1" s="511" t="s">
        <v>1803</v>
      </c>
      <c r="L1" s="511" t="s">
        <v>1803</v>
      </c>
      <c r="M1" s="511" t="s">
        <v>1803</v>
      </c>
      <c r="N1" s="511" t="s">
        <v>1803</v>
      </c>
      <c r="O1" s="499"/>
      <c r="P1" s="499"/>
      <c r="Q1" s="499"/>
    </row>
    <row r="2" spans="1:17" ht="17.399999999999999" x14ac:dyDescent="0.3">
      <c r="A2" s="500" t="s">
        <v>226</v>
      </c>
      <c r="B2" s="500" t="s">
        <v>227</v>
      </c>
      <c r="C2" s="512" t="s">
        <v>1804</v>
      </c>
      <c r="D2" s="512" t="s">
        <v>1805</v>
      </c>
      <c r="E2" s="512" t="s">
        <v>1806</v>
      </c>
      <c r="F2" s="512" t="s">
        <v>1807</v>
      </c>
      <c r="G2" s="512" t="s">
        <v>1808</v>
      </c>
      <c r="H2" s="512" t="s">
        <v>1809</v>
      </c>
      <c r="I2" s="512" t="s">
        <v>1810</v>
      </c>
      <c r="J2" s="512" t="s">
        <v>1811</v>
      </c>
      <c r="K2" s="512" t="s">
        <v>1812</v>
      </c>
      <c r="L2" s="512" t="s">
        <v>1813</v>
      </c>
      <c r="M2" s="512" t="s">
        <v>1814</v>
      </c>
      <c r="N2" s="512" t="s">
        <v>1815</v>
      </c>
      <c r="O2" s="499"/>
      <c r="P2" s="499"/>
      <c r="Q2" s="499"/>
    </row>
    <row r="3" spans="1:17" ht="14.4" x14ac:dyDescent="0.3">
      <c r="A3" s="501">
        <v>1010000</v>
      </c>
      <c r="B3" s="501" t="s">
        <v>1816</v>
      </c>
      <c r="C3" s="513">
        <v>11970999132</v>
      </c>
      <c r="D3" s="513">
        <v>12044350922</v>
      </c>
      <c r="E3" s="513">
        <v>12146481143</v>
      </c>
      <c r="F3" s="513">
        <v>12363989246</v>
      </c>
      <c r="G3" s="513">
        <v>12559683494</v>
      </c>
      <c r="H3" s="513">
        <v>12994304585</v>
      </c>
      <c r="I3" s="513">
        <v>13044196921</v>
      </c>
      <c r="J3" s="513">
        <v>13115609943</v>
      </c>
      <c r="K3" s="513">
        <v>13199541312</v>
      </c>
      <c r="L3" s="513">
        <v>13231200285</v>
      </c>
      <c r="M3" s="513">
        <v>13268455149</v>
      </c>
      <c r="N3" s="513">
        <v>13818294166</v>
      </c>
      <c r="O3" s="499"/>
      <c r="P3" s="499"/>
      <c r="Q3" s="499"/>
    </row>
    <row r="4" spans="1:17" ht="14.4" x14ac:dyDescent="0.3">
      <c r="A4" s="502">
        <v>1010001</v>
      </c>
      <c r="B4" s="503" t="s">
        <v>1817</v>
      </c>
      <c r="C4" s="514">
        <v>0</v>
      </c>
      <c r="D4" s="514">
        <v>0</v>
      </c>
      <c r="E4" s="514">
        <v>0</v>
      </c>
      <c r="F4" s="514">
        <v>0</v>
      </c>
      <c r="G4" s="514">
        <v>0</v>
      </c>
      <c r="H4" s="514">
        <v>0</v>
      </c>
      <c r="I4" s="514">
        <v>0</v>
      </c>
      <c r="J4" s="514">
        <v>0</v>
      </c>
      <c r="K4" s="514">
        <v>0</v>
      </c>
      <c r="L4" s="514">
        <v>0</v>
      </c>
      <c r="M4" s="514">
        <v>0</v>
      </c>
      <c r="N4" s="514">
        <v>0</v>
      </c>
      <c r="O4" s="499"/>
      <c r="P4" s="499"/>
      <c r="Q4" s="499"/>
    </row>
    <row r="5" spans="1:17" ht="14.4" x14ac:dyDescent="0.3">
      <c r="A5" s="502">
        <v>1010002</v>
      </c>
      <c r="B5" s="503" t="s">
        <v>1817</v>
      </c>
      <c r="C5" s="514">
        <v>0</v>
      </c>
      <c r="D5" s="514">
        <v>0</v>
      </c>
      <c r="E5" s="514">
        <v>0</v>
      </c>
      <c r="F5" s="514">
        <v>0</v>
      </c>
      <c r="G5" s="514">
        <v>0</v>
      </c>
      <c r="H5" s="514">
        <v>0</v>
      </c>
      <c r="I5" s="514">
        <v>0</v>
      </c>
      <c r="J5" s="514">
        <v>0</v>
      </c>
      <c r="K5" s="514">
        <v>0</v>
      </c>
      <c r="L5" s="514">
        <v>0</v>
      </c>
      <c r="M5" s="514">
        <v>0</v>
      </c>
      <c r="N5" s="514">
        <v>0</v>
      </c>
      <c r="O5" s="499"/>
      <c r="P5" s="499"/>
      <c r="Q5" s="499"/>
    </row>
    <row r="6" spans="1:17" ht="14.4" x14ac:dyDescent="0.3">
      <c r="A6" s="502">
        <v>1010003</v>
      </c>
      <c r="B6" s="503" t="s">
        <v>1817</v>
      </c>
      <c r="C6" s="514">
        <v>0</v>
      </c>
      <c r="D6" s="514">
        <v>0</v>
      </c>
      <c r="E6" s="514">
        <v>0</v>
      </c>
      <c r="F6" s="514">
        <v>0</v>
      </c>
      <c r="G6" s="514">
        <v>0</v>
      </c>
      <c r="H6" s="514">
        <v>0</v>
      </c>
      <c r="I6" s="514">
        <v>0</v>
      </c>
      <c r="J6" s="514">
        <v>0</v>
      </c>
      <c r="K6" s="514">
        <v>0</v>
      </c>
      <c r="L6" s="514">
        <v>0</v>
      </c>
      <c r="M6" s="514">
        <v>0</v>
      </c>
      <c r="N6" s="514">
        <v>0</v>
      </c>
      <c r="O6" s="499"/>
      <c r="P6" s="499"/>
      <c r="Q6" s="499"/>
    </row>
    <row r="7" spans="1:17" ht="14.4" x14ac:dyDescent="0.3">
      <c r="A7" s="502">
        <v>1010004</v>
      </c>
      <c r="B7" s="503" t="s">
        <v>1817</v>
      </c>
      <c r="C7" s="514">
        <v>0</v>
      </c>
      <c r="D7" s="514">
        <v>0</v>
      </c>
      <c r="E7" s="514">
        <v>0</v>
      </c>
      <c r="F7" s="514">
        <v>0</v>
      </c>
      <c r="G7" s="514">
        <v>0</v>
      </c>
      <c r="H7" s="514">
        <v>0</v>
      </c>
      <c r="I7" s="514">
        <v>0</v>
      </c>
      <c r="J7" s="514">
        <v>0</v>
      </c>
      <c r="K7" s="514">
        <v>0</v>
      </c>
      <c r="L7" s="514">
        <v>0</v>
      </c>
      <c r="M7" s="514">
        <v>0</v>
      </c>
      <c r="N7" s="514">
        <v>0</v>
      </c>
      <c r="O7" s="499"/>
      <c r="P7" s="499"/>
      <c r="Q7" s="499"/>
    </row>
    <row r="8" spans="1:17" ht="14.4" x14ac:dyDescent="0.3">
      <c r="A8" s="502">
        <v>1010200</v>
      </c>
      <c r="B8" s="503" t="s">
        <v>1818</v>
      </c>
      <c r="C8" s="514">
        <v>0</v>
      </c>
      <c r="D8" s="514">
        <v>0</v>
      </c>
      <c r="E8" s="514">
        <v>0</v>
      </c>
      <c r="F8" s="514">
        <v>0</v>
      </c>
      <c r="G8" s="514">
        <v>0</v>
      </c>
      <c r="H8" s="514">
        <v>0</v>
      </c>
      <c r="I8" s="514">
        <v>0</v>
      </c>
      <c r="J8" s="514">
        <v>0</v>
      </c>
      <c r="K8" s="514">
        <v>0</v>
      </c>
      <c r="L8" s="514">
        <v>0</v>
      </c>
      <c r="M8" s="514">
        <v>0</v>
      </c>
      <c r="N8" s="514">
        <v>0</v>
      </c>
      <c r="O8" s="499"/>
      <c r="P8" s="499"/>
      <c r="Q8" s="499"/>
    </row>
    <row r="9" spans="1:17" ht="14.4" x14ac:dyDescent="0.3">
      <c r="A9" s="502">
        <v>1010900</v>
      </c>
      <c r="B9" s="503" t="s">
        <v>1819</v>
      </c>
      <c r="C9" s="514">
        <v>0</v>
      </c>
      <c r="D9" s="514">
        <v>0</v>
      </c>
      <c r="E9" s="514">
        <v>0</v>
      </c>
      <c r="F9" s="514">
        <v>0</v>
      </c>
      <c r="G9" s="514">
        <v>0</v>
      </c>
      <c r="H9" s="514">
        <v>0</v>
      </c>
      <c r="I9" s="514">
        <v>0</v>
      </c>
      <c r="J9" s="514">
        <v>0</v>
      </c>
      <c r="K9" s="514">
        <v>0</v>
      </c>
      <c r="L9" s="514">
        <v>0</v>
      </c>
      <c r="M9" s="514">
        <v>0</v>
      </c>
      <c r="N9" s="514">
        <v>0</v>
      </c>
      <c r="O9" s="499"/>
      <c r="P9" s="499"/>
      <c r="Q9" s="499"/>
    </row>
    <row r="10" spans="1:17" ht="14.4" x14ac:dyDescent="0.3">
      <c r="A10" s="502">
        <v>1011000</v>
      </c>
      <c r="B10" s="503" t="s">
        <v>1820</v>
      </c>
      <c r="C10" s="514">
        <v>2988279.79</v>
      </c>
      <c r="D10" s="514">
        <v>2950453.46</v>
      </c>
      <c r="E10" s="514">
        <v>2912627.13</v>
      </c>
      <c r="F10" s="514">
        <v>2874800.81</v>
      </c>
      <c r="G10" s="514">
        <v>2836974.48</v>
      </c>
      <c r="H10" s="514">
        <v>2799148.15</v>
      </c>
      <c r="I10" s="514">
        <v>2761321.83</v>
      </c>
      <c r="J10" s="514">
        <v>2723495.5</v>
      </c>
      <c r="K10" s="514">
        <v>2685669.18</v>
      </c>
      <c r="L10" s="514">
        <v>2647842.85</v>
      </c>
      <c r="M10" s="514">
        <v>2610016.52</v>
      </c>
      <c r="N10" s="514">
        <v>2572190.2000000002</v>
      </c>
      <c r="O10" s="499"/>
      <c r="P10" s="499"/>
      <c r="Q10" s="499"/>
    </row>
    <row r="11" spans="1:17" ht="14.4" x14ac:dyDescent="0.3">
      <c r="A11" s="502">
        <v>1011200</v>
      </c>
      <c r="B11" s="503" t="s">
        <v>1821</v>
      </c>
      <c r="C11" s="514">
        <v>30477020.079999998</v>
      </c>
      <c r="D11" s="514">
        <v>30296104.989999998</v>
      </c>
      <c r="E11" s="514">
        <v>30114731.989999998</v>
      </c>
      <c r="F11" s="514">
        <v>29932899.670000002</v>
      </c>
      <c r="G11" s="514">
        <v>29750606.629999999</v>
      </c>
      <c r="H11" s="514">
        <v>29567851.469999999</v>
      </c>
      <c r="I11" s="514">
        <v>29384632.77</v>
      </c>
      <c r="J11" s="514">
        <v>29200945.859999999</v>
      </c>
      <c r="K11" s="514">
        <v>29016789.300000001</v>
      </c>
      <c r="L11" s="514">
        <v>28985763.100000001</v>
      </c>
      <c r="M11" s="514">
        <v>28954796.899999999</v>
      </c>
      <c r="N11" s="514">
        <v>28923884.75</v>
      </c>
      <c r="O11" s="499"/>
      <c r="P11" s="499"/>
      <c r="Q11" s="499"/>
    </row>
    <row r="12" spans="1:17" ht="14.4" x14ac:dyDescent="0.3">
      <c r="A12" s="502">
        <v>1020000</v>
      </c>
      <c r="B12" s="503" t="s">
        <v>1822</v>
      </c>
      <c r="C12" s="514">
        <v>0</v>
      </c>
      <c r="D12" s="514">
        <v>0</v>
      </c>
      <c r="E12" s="514">
        <v>0</v>
      </c>
      <c r="F12" s="514">
        <v>0</v>
      </c>
      <c r="G12" s="514">
        <v>0</v>
      </c>
      <c r="H12" s="514">
        <v>0</v>
      </c>
      <c r="I12" s="514">
        <v>0</v>
      </c>
      <c r="J12" s="514">
        <v>0</v>
      </c>
      <c r="K12" s="514">
        <v>0</v>
      </c>
      <c r="L12" s="514">
        <v>0</v>
      </c>
      <c r="M12" s="514">
        <v>0</v>
      </c>
      <c r="N12" s="514">
        <v>0</v>
      </c>
      <c r="O12" s="499"/>
      <c r="P12" s="499"/>
      <c r="Q12" s="499"/>
    </row>
    <row r="13" spans="1:17" ht="14.4" x14ac:dyDescent="0.3">
      <c r="A13" s="502">
        <v>1030000</v>
      </c>
      <c r="B13" s="503" t="s">
        <v>1823</v>
      </c>
      <c r="C13" s="514">
        <v>0</v>
      </c>
      <c r="D13" s="514">
        <v>0</v>
      </c>
      <c r="E13" s="514">
        <v>0</v>
      </c>
      <c r="F13" s="514">
        <v>0</v>
      </c>
      <c r="G13" s="514">
        <v>0</v>
      </c>
      <c r="H13" s="514">
        <v>0</v>
      </c>
      <c r="I13" s="514">
        <v>0</v>
      </c>
      <c r="J13" s="514">
        <v>0</v>
      </c>
      <c r="K13" s="514">
        <v>0</v>
      </c>
      <c r="L13" s="514">
        <v>0</v>
      </c>
      <c r="M13" s="514">
        <v>0</v>
      </c>
      <c r="N13" s="514">
        <v>0</v>
      </c>
      <c r="O13" s="499"/>
      <c r="P13" s="499"/>
      <c r="Q13" s="499"/>
    </row>
    <row r="14" spans="1:17" ht="14.4" x14ac:dyDescent="0.3">
      <c r="A14" s="502">
        <v>1031000</v>
      </c>
      <c r="B14" s="503" t="s">
        <v>1824</v>
      </c>
      <c r="C14" s="514">
        <v>0</v>
      </c>
      <c r="D14" s="514">
        <v>0</v>
      </c>
      <c r="E14" s="514">
        <v>0</v>
      </c>
      <c r="F14" s="514">
        <v>0</v>
      </c>
      <c r="G14" s="514">
        <v>0</v>
      </c>
      <c r="H14" s="514">
        <v>0</v>
      </c>
      <c r="I14" s="514">
        <v>0</v>
      </c>
      <c r="J14" s="514">
        <v>0</v>
      </c>
      <c r="K14" s="514">
        <v>0</v>
      </c>
      <c r="L14" s="514">
        <v>0</v>
      </c>
      <c r="M14" s="514">
        <v>0</v>
      </c>
      <c r="N14" s="514">
        <v>0</v>
      </c>
      <c r="O14" s="499"/>
      <c r="P14" s="499"/>
      <c r="Q14" s="499"/>
    </row>
    <row r="15" spans="1:17" ht="14.4" x14ac:dyDescent="0.3">
      <c r="A15" s="502">
        <v>1040000</v>
      </c>
      <c r="B15" s="503" t="s">
        <v>1825</v>
      </c>
      <c r="C15" s="514">
        <v>0</v>
      </c>
      <c r="D15" s="514">
        <v>0</v>
      </c>
      <c r="E15" s="514">
        <v>0</v>
      </c>
      <c r="F15" s="514">
        <v>0</v>
      </c>
      <c r="G15" s="514">
        <v>0</v>
      </c>
      <c r="H15" s="514">
        <v>0</v>
      </c>
      <c r="I15" s="514">
        <v>0</v>
      </c>
      <c r="J15" s="514">
        <v>0</v>
      </c>
      <c r="K15" s="514">
        <v>0</v>
      </c>
      <c r="L15" s="514">
        <v>0</v>
      </c>
      <c r="M15" s="514">
        <v>0</v>
      </c>
      <c r="N15" s="514">
        <v>0</v>
      </c>
      <c r="O15" s="499"/>
      <c r="P15" s="499"/>
      <c r="Q15" s="499"/>
    </row>
    <row r="16" spans="1:17" ht="14.4" x14ac:dyDescent="0.3">
      <c r="A16" s="502">
        <v>1040001</v>
      </c>
      <c r="B16" s="503" t="s">
        <v>1826</v>
      </c>
      <c r="C16" s="514">
        <v>0</v>
      </c>
      <c r="D16" s="514">
        <v>0</v>
      </c>
      <c r="E16" s="514">
        <v>0</v>
      </c>
      <c r="F16" s="514">
        <v>0</v>
      </c>
      <c r="G16" s="514">
        <v>0</v>
      </c>
      <c r="H16" s="514">
        <v>0</v>
      </c>
      <c r="I16" s="514">
        <v>0</v>
      </c>
      <c r="J16" s="514">
        <v>0</v>
      </c>
      <c r="K16" s="514">
        <v>0</v>
      </c>
      <c r="L16" s="514">
        <v>0</v>
      </c>
      <c r="M16" s="514">
        <v>0</v>
      </c>
      <c r="N16" s="514">
        <v>0</v>
      </c>
      <c r="O16" s="499"/>
      <c r="P16" s="499"/>
      <c r="Q16" s="499"/>
    </row>
    <row r="17" spans="1:17" ht="14.4" x14ac:dyDescent="0.3">
      <c r="A17" s="502">
        <v>1050000</v>
      </c>
      <c r="B17" s="503" t="s">
        <v>1827</v>
      </c>
      <c r="C17" s="514">
        <v>72762399.530000001</v>
      </c>
      <c r="D17" s="514">
        <v>72762399.530000001</v>
      </c>
      <c r="E17" s="514">
        <v>72762399.530000001</v>
      </c>
      <c r="F17" s="514">
        <v>72762399.530000001</v>
      </c>
      <c r="G17" s="514">
        <v>72762399.530000001</v>
      </c>
      <c r="H17" s="514">
        <v>72764952.269999996</v>
      </c>
      <c r="I17" s="514">
        <v>72764952.269999996</v>
      </c>
      <c r="J17" s="514">
        <v>72764952.269999996</v>
      </c>
      <c r="K17" s="514">
        <v>73264952.269999996</v>
      </c>
      <c r="L17" s="514">
        <v>73264952.269999996</v>
      </c>
      <c r="M17" s="514">
        <v>73264952.269999996</v>
      </c>
      <c r="N17" s="514">
        <v>73264952.269999996</v>
      </c>
      <c r="O17" s="499"/>
      <c r="P17" s="499"/>
      <c r="Q17" s="499"/>
    </row>
    <row r="18" spans="1:17" ht="14.4" x14ac:dyDescent="0.3">
      <c r="A18" s="502">
        <v>1051000</v>
      </c>
      <c r="B18" s="503" t="s">
        <v>1828</v>
      </c>
      <c r="C18" s="514">
        <v>0</v>
      </c>
      <c r="D18" s="514">
        <v>0</v>
      </c>
      <c r="E18" s="514">
        <v>0</v>
      </c>
      <c r="F18" s="514">
        <v>0</v>
      </c>
      <c r="G18" s="514">
        <v>0</v>
      </c>
      <c r="H18" s="514">
        <v>0</v>
      </c>
      <c r="I18" s="514">
        <v>0</v>
      </c>
      <c r="J18" s="514">
        <v>0</v>
      </c>
      <c r="K18" s="514">
        <v>0</v>
      </c>
      <c r="L18" s="514">
        <v>0</v>
      </c>
      <c r="M18" s="514">
        <v>0</v>
      </c>
      <c r="N18" s="514">
        <v>0</v>
      </c>
      <c r="O18" s="499"/>
      <c r="P18" s="499"/>
      <c r="Q18" s="499"/>
    </row>
    <row r="19" spans="1:17" ht="14.4" x14ac:dyDescent="0.3">
      <c r="A19" s="502">
        <v>1060000</v>
      </c>
      <c r="B19" s="503" t="s">
        <v>1829</v>
      </c>
      <c r="C19" s="514">
        <v>1675384633.24</v>
      </c>
      <c r="D19" s="514">
        <v>1675384633.24</v>
      </c>
      <c r="E19" s="514">
        <v>1675384633.24</v>
      </c>
      <c r="F19" s="514">
        <v>1675384633.24</v>
      </c>
      <c r="G19" s="514">
        <v>1675384633.24</v>
      </c>
      <c r="H19" s="514">
        <v>1675384633.24</v>
      </c>
      <c r="I19" s="514">
        <v>1675384633.24</v>
      </c>
      <c r="J19" s="514">
        <v>1675384633.24</v>
      </c>
      <c r="K19" s="514">
        <v>1675384633.24</v>
      </c>
      <c r="L19" s="514">
        <v>1675384633.24</v>
      </c>
      <c r="M19" s="514">
        <v>1675384633.24</v>
      </c>
      <c r="N19" s="514">
        <v>1675384633.24</v>
      </c>
      <c r="O19" s="499"/>
      <c r="P19" s="499"/>
      <c r="Q19" s="499"/>
    </row>
    <row r="20" spans="1:17" ht="14.4" x14ac:dyDescent="0.3">
      <c r="A20" s="502">
        <v>1070000</v>
      </c>
      <c r="B20" s="503" t="s">
        <v>1830</v>
      </c>
      <c r="C20" s="514">
        <v>1107769950.8199999</v>
      </c>
      <c r="D20" s="514">
        <v>1161909383.1199999</v>
      </c>
      <c r="E20" s="514">
        <v>1182361114.52</v>
      </c>
      <c r="F20" s="514">
        <v>1087771418.22</v>
      </c>
      <c r="G20" s="514">
        <v>992782210.10000002</v>
      </c>
      <c r="H20" s="514">
        <v>731822782.92999995</v>
      </c>
      <c r="I20" s="514">
        <v>833077785.26999998</v>
      </c>
      <c r="J20" s="514">
        <v>854090326.37</v>
      </c>
      <c r="K20" s="514">
        <v>858831945.09000003</v>
      </c>
      <c r="L20" s="514">
        <v>909839688.57000005</v>
      </c>
      <c r="M20" s="514">
        <v>955080274.86000001</v>
      </c>
      <c r="N20" s="514">
        <v>486192136.91000003</v>
      </c>
      <c r="O20" s="499"/>
      <c r="P20" s="499"/>
      <c r="Q20" s="499"/>
    </row>
    <row r="21" spans="1:17" ht="14.4" x14ac:dyDescent="0.3">
      <c r="A21" s="502">
        <v>1080000</v>
      </c>
      <c r="B21" s="503" t="s">
        <v>1831</v>
      </c>
      <c r="C21" s="514">
        <v>3853527552.0599999</v>
      </c>
      <c r="D21" s="514">
        <v>3881732879.8699999</v>
      </c>
      <c r="E21" s="514">
        <v>3904628274.1500001</v>
      </c>
      <c r="F21" s="514">
        <v>3930527623.9200001</v>
      </c>
      <c r="G21" s="514">
        <v>3941300970.6599998</v>
      </c>
      <c r="H21" s="514">
        <v>3963965222.21</v>
      </c>
      <c r="I21" s="514">
        <v>3991756534.0500002</v>
      </c>
      <c r="J21" s="514">
        <v>4022405557.2199998</v>
      </c>
      <c r="K21" s="514">
        <v>4050339803.6300001</v>
      </c>
      <c r="L21" s="514">
        <v>4071397910.8299999</v>
      </c>
      <c r="M21" s="514">
        <v>4100555086.5700002</v>
      </c>
      <c r="N21" s="514">
        <v>4099664525.02</v>
      </c>
      <c r="O21" s="499"/>
      <c r="P21" s="499"/>
      <c r="Q21" s="499"/>
    </row>
    <row r="22" spans="1:17" ht="14.4" x14ac:dyDescent="0.3">
      <c r="A22" s="502">
        <v>1080001</v>
      </c>
      <c r="B22" s="503" t="s">
        <v>1832</v>
      </c>
      <c r="C22" s="514">
        <v>83001238.730000004</v>
      </c>
      <c r="D22" s="514">
        <v>83001238.730000004</v>
      </c>
      <c r="E22" s="514">
        <v>83001238.730000004</v>
      </c>
      <c r="F22" s="514">
        <v>83001238.730000004</v>
      </c>
      <c r="G22" s="514">
        <v>83001238.730000004</v>
      </c>
      <c r="H22" s="514">
        <v>83001238.730000004</v>
      </c>
      <c r="I22" s="514">
        <v>83001238.730000004</v>
      </c>
      <c r="J22" s="514">
        <v>83001238.730000004</v>
      </c>
      <c r="K22" s="514">
        <v>83001238.730000004</v>
      </c>
      <c r="L22" s="514">
        <v>83001238.730000004</v>
      </c>
      <c r="M22" s="514">
        <v>83001238.730000004</v>
      </c>
      <c r="N22" s="514">
        <v>83001238.730000004</v>
      </c>
      <c r="O22" s="499"/>
      <c r="P22" s="499"/>
      <c r="Q22" s="499"/>
    </row>
    <row r="23" spans="1:17" ht="14.4" x14ac:dyDescent="0.3">
      <c r="A23" s="502">
        <v>1080100</v>
      </c>
      <c r="B23" s="503" t="s">
        <v>1833</v>
      </c>
      <c r="C23" s="514">
        <v>14158244.32</v>
      </c>
      <c r="D23" s="514">
        <v>14134647.25</v>
      </c>
      <c r="E23" s="514">
        <v>14111089.5</v>
      </c>
      <c r="F23" s="514">
        <v>14087571.02</v>
      </c>
      <c r="G23" s="514">
        <v>14064091.73</v>
      </c>
      <c r="H23" s="514">
        <v>14040651.58</v>
      </c>
      <c r="I23" s="514">
        <v>14017250.49</v>
      </c>
      <c r="J23" s="514">
        <v>13993888.41</v>
      </c>
      <c r="K23" s="514">
        <v>13970565.26</v>
      </c>
      <c r="L23" s="514">
        <v>13947280.98</v>
      </c>
      <c r="M23" s="514">
        <v>13924035.51</v>
      </c>
      <c r="N23" s="514">
        <v>13900828.779999999</v>
      </c>
      <c r="O23" s="499"/>
      <c r="P23" s="499"/>
      <c r="Q23" s="499"/>
    </row>
    <row r="24" spans="1:17" ht="14.4" x14ac:dyDescent="0.3">
      <c r="A24" s="502">
        <v>1080110</v>
      </c>
      <c r="B24" s="503" t="s">
        <v>1834</v>
      </c>
      <c r="C24" s="514">
        <v>14158244.32</v>
      </c>
      <c r="D24" s="514">
        <v>14134647.25</v>
      </c>
      <c r="E24" s="514">
        <v>14111089.5</v>
      </c>
      <c r="F24" s="514">
        <v>14087571.02</v>
      </c>
      <c r="G24" s="514">
        <v>14064091.73</v>
      </c>
      <c r="H24" s="514">
        <v>14040651.58</v>
      </c>
      <c r="I24" s="514">
        <v>14017250.49</v>
      </c>
      <c r="J24" s="514">
        <v>13993888.41</v>
      </c>
      <c r="K24" s="514">
        <v>13970565.26</v>
      </c>
      <c r="L24" s="514">
        <v>13947280.98</v>
      </c>
      <c r="M24" s="514">
        <v>13924035.51</v>
      </c>
      <c r="N24" s="514">
        <v>13900828.779999999</v>
      </c>
      <c r="O24" s="499"/>
      <c r="P24" s="499"/>
      <c r="Q24" s="499"/>
    </row>
    <row r="25" spans="1:17" ht="14.4" x14ac:dyDescent="0.3">
      <c r="A25" s="502">
        <v>1080200</v>
      </c>
      <c r="B25" s="503" t="s">
        <v>1835</v>
      </c>
      <c r="C25" s="514">
        <v>269006642.17000002</v>
      </c>
      <c r="D25" s="514">
        <v>268558297.76999998</v>
      </c>
      <c r="E25" s="514">
        <v>268110700.61000001</v>
      </c>
      <c r="F25" s="514">
        <v>267663849.44</v>
      </c>
      <c r="G25" s="514">
        <v>267217743.02000001</v>
      </c>
      <c r="H25" s="514">
        <v>266772380.11000001</v>
      </c>
      <c r="I25" s="514">
        <v>266327759.47999999</v>
      </c>
      <c r="J25" s="514">
        <v>265883879.88</v>
      </c>
      <c r="K25" s="514">
        <v>265440740.08000001</v>
      </c>
      <c r="L25" s="514">
        <v>264998338.84999999</v>
      </c>
      <c r="M25" s="514">
        <v>264556674.94999999</v>
      </c>
      <c r="N25" s="514">
        <v>264115747.16</v>
      </c>
      <c r="O25" s="499"/>
      <c r="P25" s="499"/>
      <c r="Q25" s="499"/>
    </row>
    <row r="26" spans="1:17" ht="14.4" x14ac:dyDescent="0.3">
      <c r="A26" s="502">
        <v>1080210</v>
      </c>
      <c r="B26" s="503" t="s">
        <v>1836</v>
      </c>
      <c r="C26" s="514">
        <v>269006642.17000002</v>
      </c>
      <c r="D26" s="514">
        <v>268558297.76999998</v>
      </c>
      <c r="E26" s="514">
        <v>268110700.61000001</v>
      </c>
      <c r="F26" s="514">
        <v>267663849.44</v>
      </c>
      <c r="G26" s="514">
        <v>267217743.02000001</v>
      </c>
      <c r="H26" s="514">
        <v>266772380.11000001</v>
      </c>
      <c r="I26" s="514">
        <v>266327759.47999999</v>
      </c>
      <c r="J26" s="514">
        <v>265883879.88</v>
      </c>
      <c r="K26" s="514">
        <v>265440740.08000001</v>
      </c>
      <c r="L26" s="514">
        <v>264998338.84999999</v>
      </c>
      <c r="M26" s="514">
        <v>264556674.94999999</v>
      </c>
      <c r="N26" s="514">
        <v>264115747.16</v>
      </c>
      <c r="O26" s="499"/>
      <c r="P26" s="499"/>
      <c r="Q26" s="499"/>
    </row>
    <row r="27" spans="1:17" ht="14.4" x14ac:dyDescent="0.3">
      <c r="A27" s="502">
        <v>1080300</v>
      </c>
      <c r="B27" s="503" t="s">
        <v>1837</v>
      </c>
      <c r="C27" s="514">
        <v>0</v>
      </c>
      <c r="D27" s="514">
        <v>0</v>
      </c>
      <c r="E27" s="514">
        <v>0</v>
      </c>
      <c r="F27" s="514">
        <v>0</v>
      </c>
      <c r="G27" s="514">
        <v>0</v>
      </c>
      <c r="H27" s="514">
        <v>0</v>
      </c>
      <c r="I27" s="514">
        <v>0</v>
      </c>
      <c r="J27" s="514">
        <v>0</v>
      </c>
      <c r="K27" s="514">
        <v>0</v>
      </c>
      <c r="L27" s="514">
        <v>0</v>
      </c>
      <c r="M27" s="514">
        <v>0</v>
      </c>
      <c r="N27" s="514">
        <v>0</v>
      </c>
      <c r="O27" s="499"/>
      <c r="P27" s="499"/>
      <c r="Q27" s="499"/>
    </row>
    <row r="28" spans="1:17" ht="14.4" x14ac:dyDescent="0.3">
      <c r="A28" s="502">
        <v>1080900</v>
      </c>
      <c r="B28" s="503" t="s">
        <v>1838</v>
      </c>
      <c r="C28" s="514">
        <v>0</v>
      </c>
      <c r="D28" s="514">
        <v>0</v>
      </c>
      <c r="E28" s="514">
        <v>0</v>
      </c>
      <c r="F28" s="514">
        <v>0</v>
      </c>
      <c r="G28" s="514">
        <v>0</v>
      </c>
      <c r="H28" s="514">
        <v>0</v>
      </c>
      <c r="I28" s="514">
        <v>0</v>
      </c>
      <c r="J28" s="514">
        <v>0</v>
      </c>
      <c r="K28" s="514">
        <v>0</v>
      </c>
      <c r="L28" s="514">
        <v>0</v>
      </c>
      <c r="M28" s="514">
        <v>0</v>
      </c>
      <c r="N28" s="514">
        <v>0</v>
      </c>
      <c r="O28" s="499"/>
      <c r="P28" s="499"/>
      <c r="Q28" s="499"/>
    </row>
    <row r="29" spans="1:17" ht="14.4" x14ac:dyDescent="0.3">
      <c r="A29" s="502">
        <v>1080901</v>
      </c>
      <c r="B29" s="503" t="s">
        <v>1839</v>
      </c>
      <c r="C29" s="514">
        <v>0</v>
      </c>
      <c r="D29" s="514">
        <v>0</v>
      </c>
      <c r="E29" s="514">
        <v>0</v>
      </c>
      <c r="F29" s="514">
        <v>0</v>
      </c>
      <c r="G29" s="514">
        <v>0</v>
      </c>
      <c r="H29" s="514">
        <v>0</v>
      </c>
      <c r="I29" s="514">
        <v>0</v>
      </c>
      <c r="J29" s="514">
        <v>0</v>
      </c>
      <c r="K29" s="514">
        <v>0</v>
      </c>
      <c r="L29" s="514">
        <v>0</v>
      </c>
      <c r="M29" s="514">
        <v>0</v>
      </c>
      <c r="N29" s="514">
        <v>0</v>
      </c>
      <c r="O29" s="499"/>
      <c r="P29" s="499"/>
      <c r="Q29" s="499"/>
    </row>
    <row r="30" spans="1:17" ht="14.4" x14ac:dyDescent="0.3">
      <c r="A30" s="502">
        <v>1110000</v>
      </c>
      <c r="B30" s="503" t="s">
        <v>1840</v>
      </c>
      <c r="C30" s="514">
        <v>176113059.13</v>
      </c>
      <c r="D30" s="514">
        <v>179307044.12</v>
      </c>
      <c r="E30" s="514">
        <v>182503995.05000001</v>
      </c>
      <c r="F30" s="514">
        <v>185708499.09</v>
      </c>
      <c r="G30" s="514">
        <v>188858470.91</v>
      </c>
      <c r="H30" s="514">
        <v>192067641.94</v>
      </c>
      <c r="I30" s="514">
        <v>195126496.75</v>
      </c>
      <c r="J30" s="514">
        <v>198093547.13</v>
      </c>
      <c r="K30" s="514">
        <v>201470923.37</v>
      </c>
      <c r="L30" s="514">
        <v>204816686.00999999</v>
      </c>
      <c r="M30" s="514">
        <v>208371598.88999999</v>
      </c>
      <c r="N30" s="514">
        <v>211937715.50999999</v>
      </c>
      <c r="O30" s="499"/>
      <c r="P30" s="499"/>
      <c r="Q30" s="499"/>
    </row>
    <row r="31" spans="1:17" ht="14.4" x14ac:dyDescent="0.3">
      <c r="A31" s="502">
        <v>1140000</v>
      </c>
      <c r="B31" s="503" t="s">
        <v>1841</v>
      </c>
      <c r="C31" s="514">
        <v>7484822.7599999998</v>
      </c>
      <c r="D31" s="514">
        <v>7484822.7599999998</v>
      </c>
      <c r="E31" s="514">
        <v>7484822.7599999998</v>
      </c>
      <c r="F31" s="514">
        <v>7484822.7599999998</v>
      </c>
      <c r="G31" s="514">
        <v>7484822.7599999998</v>
      </c>
      <c r="H31" s="514">
        <v>7484822.7599999998</v>
      </c>
      <c r="I31" s="514">
        <v>7484822.7599999998</v>
      </c>
      <c r="J31" s="514">
        <v>7484822.7599999998</v>
      </c>
      <c r="K31" s="514">
        <v>7484822.7599999998</v>
      </c>
      <c r="L31" s="514">
        <v>7484822.7599999998</v>
      </c>
      <c r="M31" s="514">
        <v>7484822.7599999998</v>
      </c>
      <c r="N31" s="514">
        <v>7484822.7599999998</v>
      </c>
      <c r="O31" s="499"/>
      <c r="P31" s="499"/>
      <c r="Q31" s="499"/>
    </row>
    <row r="32" spans="1:17" ht="14.4" x14ac:dyDescent="0.3">
      <c r="A32" s="502">
        <v>1140200</v>
      </c>
      <c r="B32" s="503" t="s">
        <v>1842</v>
      </c>
      <c r="C32" s="514">
        <v>0</v>
      </c>
      <c r="D32" s="514">
        <v>0</v>
      </c>
      <c r="E32" s="514">
        <v>0</v>
      </c>
      <c r="F32" s="514">
        <v>0</v>
      </c>
      <c r="G32" s="514">
        <v>0</v>
      </c>
      <c r="H32" s="514">
        <v>0</v>
      </c>
      <c r="I32" s="514">
        <v>0</v>
      </c>
      <c r="J32" s="514">
        <v>0</v>
      </c>
      <c r="K32" s="514">
        <v>0</v>
      </c>
      <c r="L32" s="514">
        <v>0</v>
      </c>
      <c r="M32" s="514">
        <v>0</v>
      </c>
      <c r="N32" s="514">
        <v>0</v>
      </c>
      <c r="O32" s="499"/>
      <c r="P32" s="499"/>
      <c r="Q32" s="499"/>
    </row>
    <row r="33" spans="1:17" ht="14.4" x14ac:dyDescent="0.3">
      <c r="A33" s="502">
        <v>1150000</v>
      </c>
      <c r="B33" s="503" t="s">
        <v>1843</v>
      </c>
      <c r="C33" s="514">
        <v>6903091.9199999999</v>
      </c>
      <c r="D33" s="514">
        <v>6922817.6500000004</v>
      </c>
      <c r="E33" s="514">
        <v>6942543.3799999999</v>
      </c>
      <c r="F33" s="514">
        <v>6962269.1100000003</v>
      </c>
      <c r="G33" s="514">
        <v>6981994.8399999999</v>
      </c>
      <c r="H33" s="514">
        <v>7001720.5700000003</v>
      </c>
      <c r="I33" s="514">
        <v>7021446.2999999998</v>
      </c>
      <c r="J33" s="514">
        <v>7041172.0300000003</v>
      </c>
      <c r="K33" s="514">
        <v>7060897.7599999998</v>
      </c>
      <c r="L33" s="514">
        <v>7080623.4900000002</v>
      </c>
      <c r="M33" s="514">
        <v>7100349.2199999997</v>
      </c>
      <c r="N33" s="514">
        <v>7120074.9500000002</v>
      </c>
      <c r="O33" s="499"/>
      <c r="P33" s="499"/>
      <c r="Q33" s="499"/>
    </row>
    <row r="34" spans="1:17" ht="14.4" x14ac:dyDescent="0.3">
      <c r="A34" s="502">
        <v>1160000</v>
      </c>
      <c r="B34" s="503" t="s">
        <v>1844</v>
      </c>
      <c r="C34" s="514">
        <v>0</v>
      </c>
      <c r="D34" s="514">
        <v>0</v>
      </c>
      <c r="E34" s="514">
        <v>0</v>
      </c>
      <c r="F34" s="514">
        <v>0</v>
      </c>
      <c r="G34" s="514">
        <v>0</v>
      </c>
      <c r="H34" s="514">
        <v>0</v>
      </c>
      <c r="I34" s="514">
        <v>0</v>
      </c>
      <c r="J34" s="514">
        <v>0</v>
      </c>
      <c r="K34" s="514">
        <v>0</v>
      </c>
      <c r="L34" s="514">
        <v>0</v>
      </c>
      <c r="M34" s="514">
        <v>0</v>
      </c>
      <c r="N34" s="514">
        <v>0</v>
      </c>
      <c r="O34" s="499"/>
      <c r="P34" s="499"/>
      <c r="Q34" s="499"/>
    </row>
    <row r="35" spans="1:17" ht="14.4" x14ac:dyDescent="0.3">
      <c r="A35" s="502">
        <v>1171000</v>
      </c>
      <c r="B35" s="503" t="s">
        <v>1845</v>
      </c>
      <c r="C35" s="514">
        <v>0</v>
      </c>
      <c r="D35" s="514">
        <v>0</v>
      </c>
      <c r="E35" s="514">
        <v>0</v>
      </c>
      <c r="F35" s="514">
        <v>0</v>
      </c>
      <c r="G35" s="514">
        <v>0</v>
      </c>
      <c r="H35" s="514">
        <v>0</v>
      </c>
      <c r="I35" s="514">
        <v>0</v>
      </c>
      <c r="J35" s="514">
        <v>0</v>
      </c>
      <c r="K35" s="514">
        <v>0</v>
      </c>
      <c r="L35" s="514">
        <v>0</v>
      </c>
      <c r="M35" s="514">
        <v>0</v>
      </c>
      <c r="N35" s="514">
        <v>0</v>
      </c>
      <c r="O35" s="499"/>
      <c r="P35" s="499"/>
      <c r="Q35" s="499"/>
    </row>
    <row r="36" spans="1:17" ht="14.4" x14ac:dyDescent="0.3">
      <c r="A36" s="502">
        <v>1172000</v>
      </c>
      <c r="B36" s="503" t="s">
        <v>1846</v>
      </c>
      <c r="C36" s="514">
        <v>0</v>
      </c>
      <c r="D36" s="514">
        <v>0</v>
      </c>
      <c r="E36" s="514">
        <v>0</v>
      </c>
      <c r="F36" s="514">
        <v>0</v>
      </c>
      <c r="G36" s="514">
        <v>0</v>
      </c>
      <c r="H36" s="514">
        <v>0</v>
      </c>
      <c r="I36" s="514">
        <v>0</v>
      </c>
      <c r="J36" s="514">
        <v>0</v>
      </c>
      <c r="K36" s="514">
        <v>0</v>
      </c>
      <c r="L36" s="514">
        <v>0</v>
      </c>
      <c r="M36" s="514">
        <v>0</v>
      </c>
      <c r="N36" s="514">
        <v>0</v>
      </c>
      <c r="O36" s="499"/>
      <c r="P36" s="499"/>
      <c r="Q36" s="499"/>
    </row>
    <row r="37" spans="1:17" ht="14.4" x14ac:dyDescent="0.3">
      <c r="A37" s="502">
        <v>1173200</v>
      </c>
      <c r="B37" s="503" t="s">
        <v>1847</v>
      </c>
      <c r="C37" s="514">
        <v>0</v>
      </c>
      <c r="D37" s="514">
        <v>0</v>
      </c>
      <c r="E37" s="514">
        <v>0</v>
      </c>
      <c r="F37" s="514">
        <v>0</v>
      </c>
      <c r="G37" s="514">
        <v>0</v>
      </c>
      <c r="H37" s="514">
        <v>0</v>
      </c>
      <c r="I37" s="514">
        <v>0</v>
      </c>
      <c r="J37" s="514">
        <v>0</v>
      </c>
      <c r="K37" s="514">
        <v>0</v>
      </c>
      <c r="L37" s="514">
        <v>0</v>
      </c>
      <c r="M37" s="514">
        <v>0</v>
      </c>
      <c r="N37" s="514">
        <v>0</v>
      </c>
      <c r="O37" s="499"/>
      <c r="P37" s="499"/>
      <c r="Q37" s="499"/>
    </row>
    <row r="38" spans="1:17" ht="14.4" x14ac:dyDescent="0.3">
      <c r="A38" s="502">
        <v>1174000</v>
      </c>
      <c r="B38" s="503" t="s">
        <v>1848</v>
      </c>
      <c r="C38" s="514">
        <v>0</v>
      </c>
      <c r="D38" s="514">
        <v>0</v>
      </c>
      <c r="E38" s="514">
        <v>0</v>
      </c>
      <c r="F38" s="514">
        <v>0</v>
      </c>
      <c r="G38" s="514">
        <v>0</v>
      </c>
      <c r="H38" s="514">
        <v>0</v>
      </c>
      <c r="I38" s="514">
        <v>0</v>
      </c>
      <c r="J38" s="514">
        <v>0</v>
      </c>
      <c r="K38" s="514">
        <v>0</v>
      </c>
      <c r="L38" s="514">
        <v>0</v>
      </c>
      <c r="M38" s="514">
        <v>0</v>
      </c>
      <c r="N38" s="514">
        <v>0</v>
      </c>
      <c r="O38" s="499"/>
      <c r="P38" s="499"/>
      <c r="Q38" s="499"/>
    </row>
    <row r="39" spans="1:17" ht="14.4" x14ac:dyDescent="0.3">
      <c r="A39" s="502">
        <v>1180000</v>
      </c>
      <c r="B39" s="503" t="s">
        <v>1849</v>
      </c>
      <c r="C39" s="514">
        <v>0</v>
      </c>
      <c r="D39" s="514">
        <v>0</v>
      </c>
      <c r="E39" s="514">
        <v>0</v>
      </c>
      <c r="F39" s="514">
        <v>0</v>
      </c>
      <c r="G39" s="514">
        <v>0</v>
      </c>
      <c r="H39" s="514">
        <v>0</v>
      </c>
      <c r="I39" s="514">
        <v>0</v>
      </c>
      <c r="J39" s="514">
        <v>0</v>
      </c>
      <c r="K39" s="514">
        <v>0</v>
      </c>
      <c r="L39" s="514">
        <v>0</v>
      </c>
      <c r="M39" s="514">
        <v>0</v>
      </c>
      <c r="N39" s="514">
        <v>0</v>
      </c>
      <c r="O39" s="499"/>
      <c r="P39" s="499"/>
      <c r="Q39" s="499"/>
    </row>
    <row r="40" spans="1:17" ht="14.4" x14ac:dyDescent="0.3">
      <c r="A40" s="502">
        <v>1190000</v>
      </c>
      <c r="B40" s="503" t="s">
        <v>1850</v>
      </c>
      <c r="C40" s="514">
        <v>0</v>
      </c>
      <c r="D40" s="514">
        <v>0</v>
      </c>
      <c r="E40" s="514">
        <v>0</v>
      </c>
      <c r="F40" s="514">
        <v>0</v>
      </c>
      <c r="G40" s="514">
        <v>0</v>
      </c>
      <c r="H40" s="514">
        <v>0</v>
      </c>
      <c r="I40" s="514">
        <v>0</v>
      </c>
      <c r="J40" s="514">
        <v>0</v>
      </c>
      <c r="K40" s="514">
        <v>0</v>
      </c>
      <c r="L40" s="514">
        <v>0</v>
      </c>
      <c r="M40" s="514">
        <v>0</v>
      </c>
      <c r="N40" s="514">
        <v>0</v>
      </c>
      <c r="O40" s="499"/>
      <c r="P40" s="499"/>
      <c r="Q40" s="499"/>
    </row>
    <row r="41" spans="1:17" ht="14.4" x14ac:dyDescent="0.3">
      <c r="A41" s="502">
        <v>1210000</v>
      </c>
      <c r="B41" s="503" t="s">
        <v>1851</v>
      </c>
      <c r="C41" s="514">
        <v>31976514.329999998</v>
      </c>
      <c r="D41" s="514">
        <v>32041131.609999999</v>
      </c>
      <c r="E41" s="514">
        <v>32119839.510000002</v>
      </c>
      <c r="F41" s="514">
        <v>32140923.07</v>
      </c>
      <c r="G41" s="514">
        <v>32200325.5</v>
      </c>
      <c r="H41" s="514">
        <v>32236728.140000001</v>
      </c>
      <c r="I41" s="514">
        <v>32203149.579999998</v>
      </c>
      <c r="J41" s="514">
        <v>32169322.960000001</v>
      </c>
      <c r="K41" s="514">
        <v>32091383.850000001</v>
      </c>
      <c r="L41" s="514">
        <v>32048110.620000001</v>
      </c>
      <c r="M41" s="514">
        <v>32079318.440000001</v>
      </c>
      <c r="N41" s="514">
        <v>32075037.379999999</v>
      </c>
      <c r="O41" s="499"/>
      <c r="P41" s="499"/>
      <c r="Q41" s="499"/>
    </row>
    <row r="42" spans="1:17" ht="14.4" x14ac:dyDescent="0.3">
      <c r="A42" s="502">
        <v>1210100</v>
      </c>
      <c r="B42" s="503" t="s">
        <v>1852</v>
      </c>
      <c r="C42" s="514">
        <v>229166.67</v>
      </c>
      <c r="D42" s="514">
        <v>208333.34</v>
      </c>
      <c r="E42" s="514">
        <v>187500.01</v>
      </c>
      <c r="F42" s="514">
        <v>166666.68</v>
      </c>
      <c r="G42" s="514">
        <v>145833.35</v>
      </c>
      <c r="H42" s="514">
        <v>125000.02</v>
      </c>
      <c r="I42" s="514">
        <v>104166.69</v>
      </c>
      <c r="J42" s="514">
        <v>83333.36</v>
      </c>
      <c r="K42" s="514">
        <v>62500.03</v>
      </c>
      <c r="L42" s="514">
        <v>41666.699999999997</v>
      </c>
      <c r="M42" s="514">
        <v>20833.37</v>
      </c>
      <c r="N42" s="514">
        <v>0.04</v>
      </c>
      <c r="O42" s="499"/>
      <c r="P42" s="499"/>
      <c r="Q42" s="499"/>
    </row>
    <row r="43" spans="1:17" ht="14.4" x14ac:dyDescent="0.3">
      <c r="A43" s="502">
        <v>1210200</v>
      </c>
      <c r="B43" s="503" t="s">
        <v>1853</v>
      </c>
      <c r="C43" s="514">
        <v>4166666.67</v>
      </c>
      <c r="D43" s="514">
        <v>4166666.67</v>
      </c>
      <c r="E43" s="514">
        <v>4166666.67</v>
      </c>
      <c r="F43" s="514">
        <v>4166666.67</v>
      </c>
      <c r="G43" s="514">
        <v>4166666.67</v>
      </c>
      <c r="H43" s="514">
        <v>4166666.67</v>
      </c>
      <c r="I43" s="514">
        <v>4166666.67</v>
      </c>
      <c r="J43" s="514">
        <v>4166666.67</v>
      </c>
      <c r="K43" s="514">
        <v>4166666.67</v>
      </c>
      <c r="L43" s="514">
        <v>4166666.67</v>
      </c>
      <c r="M43" s="514">
        <v>4166666.67</v>
      </c>
      <c r="N43" s="514">
        <v>4166666.67</v>
      </c>
      <c r="O43" s="499"/>
      <c r="P43" s="499"/>
      <c r="Q43" s="499"/>
    </row>
    <row r="44" spans="1:17" ht="14.4" x14ac:dyDescent="0.3">
      <c r="A44" s="502">
        <v>1220000</v>
      </c>
      <c r="B44" s="503" t="s">
        <v>1854</v>
      </c>
      <c r="C44" s="514">
        <v>9448396.6400000006</v>
      </c>
      <c r="D44" s="514">
        <v>9506647.1199999992</v>
      </c>
      <c r="E44" s="514">
        <v>9579348.9900000002</v>
      </c>
      <c r="F44" s="514">
        <v>9594865.9800000004</v>
      </c>
      <c r="G44" s="514">
        <v>9648819.5500000007</v>
      </c>
      <c r="H44" s="514">
        <v>9680105</v>
      </c>
      <c r="I44" s="514">
        <v>9641612.4900000002</v>
      </c>
      <c r="J44" s="514">
        <v>9602684.4499999993</v>
      </c>
      <c r="K44" s="514">
        <v>9519455.0500000007</v>
      </c>
      <c r="L44" s="514">
        <v>9470456.3699999992</v>
      </c>
      <c r="M44" s="514">
        <v>9495697.1300000008</v>
      </c>
      <c r="N44" s="514">
        <v>9481445.0600000005</v>
      </c>
      <c r="O44" s="499"/>
      <c r="P44" s="499"/>
      <c r="Q44" s="499"/>
    </row>
    <row r="45" spans="1:17" ht="14.4" x14ac:dyDescent="0.3">
      <c r="A45" s="502">
        <v>1230000</v>
      </c>
      <c r="B45" s="503" t="s">
        <v>1855</v>
      </c>
      <c r="C45" s="514">
        <v>0</v>
      </c>
      <c r="D45" s="514">
        <v>0</v>
      </c>
      <c r="E45" s="514">
        <v>0</v>
      </c>
      <c r="F45" s="514">
        <v>0</v>
      </c>
      <c r="G45" s="514">
        <v>0</v>
      </c>
      <c r="H45" s="514">
        <v>0</v>
      </c>
      <c r="I45" s="514">
        <v>0</v>
      </c>
      <c r="J45" s="514">
        <v>0</v>
      </c>
      <c r="K45" s="514">
        <v>0</v>
      </c>
      <c r="L45" s="514">
        <v>0</v>
      </c>
      <c r="M45" s="514">
        <v>0</v>
      </c>
      <c r="N45" s="514">
        <v>0</v>
      </c>
      <c r="O45" s="499"/>
      <c r="P45" s="499"/>
      <c r="Q45" s="499"/>
    </row>
    <row r="46" spans="1:17" ht="14.4" x14ac:dyDescent="0.3">
      <c r="A46" s="502">
        <v>1231000</v>
      </c>
      <c r="B46" s="503" t="s">
        <v>1856</v>
      </c>
      <c r="C46" s="514">
        <v>0</v>
      </c>
      <c r="D46" s="514">
        <v>0</v>
      </c>
      <c r="E46" s="514">
        <v>0</v>
      </c>
      <c r="F46" s="514">
        <v>0</v>
      </c>
      <c r="G46" s="514">
        <v>0</v>
      </c>
      <c r="H46" s="514">
        <v>0</v>
      </c>
      <c r="I46" s="514">
        <v>0</v>
      </c>
      <c r="J46" s="514">
        <v>0</v>
      </c>
      <c r="K46" s="514">
        <v>0</v>
      </c>
      <c r="L46" s="514">
        <v>0</v>
      </c>
      <c r="M46" s="514">
        <v>0</v>
      </c>
      <c r="N46" s="514">
        <v>0</v>
      </c>
      <c r="O46" s="499"/>
      <c r="P46" s="499"/>
      <c r="Q46" s="499"/>
    </row>
    <row r="47" spans="1:17" ht="14.4" x14ac:dyDescent="0.3">
      <c r="A47" s="502">
        <v>1240200</v>
      </c>
      <c r="B47" s="503" t="s">
        <v>1857</v>
      </c>
      <c r="C47" s="514">
        <v>0</v>
      </c>
      <c r="D47" s="514">
        <v>0</v>
      </c>
      <c r="E47" s="514">
        <v>0</v>
      </c>
      <c r="F47" s="514">
        <v>0</v>
      </c>
      <c r="G47" s="514">
        <v>0</v>
      </c>
      <c r="H47" s="514">
        <v>0</v>
      </c>
      <c r="I47" s="514">
        <v>0</v>
      </c>
      <c r="J47" s="514">
        <v>0</v>
      </c>
      <c r="K47" s="514">
        <v>0</v>
      </c>
      <c r="L47" s="514">
        <v>0</v>
      </c>
      <c r="M47" s="514">
        <v>0</v>
      </c>
      <c r="N47" s="514">
        <v>0</v>
      </c>
      <c r="O47" s="499"/>
      <c r="P47" s="499"/>
      <c r="Q47" s="499"/>
    </row>
    <row r="48" spans="1:17" ht="14.4" x14ac:dyDescent="0.3">
      <c r="A48" s="502">
        <v>1250000</v>
      </c>
      <c r="B48" s="503" t="s">
        <v>1858</v>
      </c>
      <c r="C48" s="514">
        <v>0</v>
      </c>
      <c r="D48" s="514">
        <v>0</v>
      </c>
      <c r="E48" s="514">
        <v>0</v>
      </c>
      <c r="F48" s="514">
        <v>0</v>
      </c>
      <c r="G48" s="514">
        <v>0</v>
      </c>
      <c r="H48" s="514">
        <v>0</v>
      </c>
      <c r="I48" s="514">
        <v>0</v>
      </c>
      <c r="J48" s="514">
        <v>0</v>
      </c>
      <c r="K48" s="514">
        <v>0</v>
      </c>
      <c r="L48" s="514">
        <v>0</v>
      </c>
      <c r="M48" s="514">
        <v>0</v>
      </c>
      <c r="N48" s="514">
        <v>0</v>
      </c>
      <c r="O48" s="499"/>
      <c r="P48" s="499"/>
      <c r="Q48" s="499"/>
    </row>
    <row r="49" spans="1:17" ht="14.4" x14ac:dyDescent="0.3">
      <c r="A49" s="502">
        <v>1260000</v>
      </c>
      <c r="B49" s="503" t="s">
        <v>1859</v>
      </c>
      <c r="C49" s="514">
        <v>0</v>
      </c>
      <c r="D49" s="514">
        <v>0</v>
      </c>
      <c r="E49" s="514">
        <v>0</v>
      </c>
      <c r="F49" s="514">
        <v>0</v>
      </c>
      <c r="G49" s="514">
        <v>0</v>
      </c>
      <c r="H49" s="514">
        <v>0</v>
      </c>
      <c r="I49" s="514">
        <v>0</v>
      </c>
      <c r="J49" s="514">
        <v>0</v>
      </c>
      <c r="K49" s="514">
        <v>0</v>
      </c>
      <c r="L49" s="514">
        <v>0</v>
      </c>
      <c r="M49" s="514">
        <v>0</v>
      </c>
      <c r="N49" s="514">
        <v>0</v>
      </c>
      <c r="O49" s="499"/>
      <c r="P49" s="499"/>
      <c r="Q49" s="499"/>
    </row>
    <row r="50" spans="1:17" ht="14.4" x14ac:dyDescent="0.3">
      <c r="A50" s="502">
        <v>1270000</v>
      </c>
      <c r="B50" s="503" t="s">
        <v>1860</v>
      </c>
      <c r="C50" s="514">
        <v>0</v>
      </c>
      <c r="D50" s="514">
        <v>0</v>
      </c>
      <c r="E50" s="514">
        <v>0</v>
      </c>
      <c r="F50" s="514">
        <v>0</v>
      </c>
      <c r="G50" s="514">
        <v>0</v>
      </c>
      <c r="H50" s="514">
        <v>0</v>
      </c>
      <c r="I50" s="514">
        <v>0</v>
      </c>
      <c r="J50" s="514">
        <v>0</v>
      </c>
      <c r="K50" s="514">
        <v>0</v>
      </c>
      <c r="L50" s="514">
        <v>0</v>
      </c>
      <c r="M50" s="514">
        <v>0</v>
      </c>
      <c r="N50" s="514">
        <v>0</v>
      </c>
      <c r="O50" s="499"/>
      <c r="P50" s="499"/>
      <c r="Q50" s="499"/>
    </row>
    <row r="51" spans="1:17" ht="14.4" x14ac:dyDescent="0.3">
      <c r="A51" s="502">
        <v>1280000</v>
      </c>
      <c r="B51" s="503" t="s">
        <v>1861</v>
      </c>
      <c r="C51" s="514">
        <v>0</v>
      </c>
      <c r="D51" s="514">
        <v>0</v>
      </c>
      <c r="E51" s="514">
        <v>0</v>
      </c>
      <c r="F51" s="514">
        <v>0</v>
      </c>
      <c r="G51" s="514">
        <v>0</v>
      </c>
      <c r="H51" s="514">
        <v>0</v>
      </c>
      <c r="I51" s="514">
        <v>0</v>
      </c>
      <c r="J51" s="514">
        <v>0</v>
      </c>
      <c r="K51" s="514">
        <v>0</v>
      </c>
      <c r="L51" s="514">
        <v>0</v>
      </c>
      <c r="M51" s="514">
        <v>0</v>
      </c>
      <c r="N51" s="514">
        <v>0</v>
      </c>
      <c r="O51" s="499"/>
      <c r="P51" s="499"/>
      <c r="Q51" s="499"/>
    </row>
    <row r="52" spans="1:17" ht="14.4" x14ac:dyDescent="0.3">
      <c r="A52" s="502">
        <v>1300010</v>
      </c>
      <c r="B52" s="503" t="s">
        <v>1862</v>
      </c>
      <c r="C52" s="514">
        <v>0</v>
      </c>
      <c r="D52" s="514">
        <v>0</v>
      </c>
      <c r="E52" s="514">
        <v>0</v>
      </c>
      <c r="F52" s="514">
        <v>0</v>
      </c>
      <c r="G52" s="514">
        <v>0</v>
      </c>
      <c r="H52" s="514">
        <v>0</v>
      </c>
      <c r="I52" s="514">
        <v>0</v>
      </c>
      <c r="J52" s="514">
        <v>0</v>
      </c>
      <c r="K52" s="514">
        <v>0</v>
      </c>
      <c r="L52" s="514">
        <v>0</v>
      </c>
      <c r="M52" s="514">
        <v>0</v>
      </c>
      <c r="N52" s="514">
        <v>0</v>
      </c>
      <c r="O52" s="499"/>
      <c r="P52" s="499"/>
      <c r="Q52" s="499"/>
    </row>
    <row r="53" spans="1:17" ht="14.4" x14ac:dyDescent="0.3">
      <c r="A53" s="502">
        <v>1300011</v>
      </c>
      <c r="B53" s="503" t="s">
        <v>1863</v>
      </c>
      <c r="C53" s="514">
        <v>0</v>
      </c>
      <c r="D53" s="514">
        <v>0</v>
      </c>
      <c r="E53" s="514">
        <v>0</v>
      </c>
      <c r="F53" s="514">
        <v>0</v>
      </c>
      <c r="G53" s="514">
        <v>0</v>
      </c>
      <c r="H53" s="514">
        <v>0</v>
      </c>
      <c r="I53" s="514">
        <v>0</v>
      </c>
      <c r="J53" s="514">
        <v>0</v>
      </c>
      <c r="K53" s="514">
        <v>0</v>
      </c>
      <c r="L53" s="514">
        <v>0</v>
      </c>
      <c r="M53" s="514">
        <v>0</v>
      </c>
      <c r="N53" s="514">
        <v>0</v>
      </c>
      <c r="O53" s="499"/>
      <c r="P53" s="499"/>
      <c r="Q53" s="499"/>
    </row>
    <row r="54" spans="1:17" ht="14.4" x14ac:dyDescent="0.3">
      <c r="A54" s="502">
        <v>1300012</v>
      </c>
      <c r="B54" s="503" t="s">
        <v>1864</v>
      </c>
      <c r="C54" s="514">
        <v>0</v>
      </c>
      <c r="D54" s="514">
        <v>0</v>
      </c>
      <c r="E54" s="514">
        <v>0</v>
      </c>
      <c r="F54" s="514">
        <v>0</v>
      </c>
      <c r="G54" s="514">
        <v>0</v>
      </c>
      <c r="H54" s="514">
        <v>0</v>
      </c>
      <c r="I54" s="514">
        <v>0</v>
      </c>
      <c r="J54" s="514">
        <v>0</v>
      </c>
      <c r="K54" s="514">
        <v>0</v>
      </c>
      <c r="L54" s="514">
        <v>0</v>
      </c>
      <c r="M54" s="514">
        <v>0</v>
      </c>
      <c r="N54" s="514">
        <v>0</v>
      </c>
      <c r="O54" s="499"/>
      <c r="P54" s="499"/>
      <c r="Q54" s="499"/>
    </row>
    <row r="55" spans="1:17" ht="14.4" x14ac:dyDescent="0.3">
      <c r="A55" s="502">
        <v>1300013</v>
      </c>
      <c r="B55" s="503" t="s">
        <v>1865</v>
      </c>
      <c r="C55" s="514">
        <v>0</v>
      </c>
      <c r="D55" s="514">
        <v>0</v>
      </c>
      <c r="E55" s="514">
        <v>0</v>
      </c>
      <c r="F55" s="514">
        <v>0</v>
      </c>
      <c r="G55" s="514">
        <v>0</v>
      </c>
      <c r="H55" s="514">
        <v>0</v>
      </c>
      <c r="I55" s="514">
        <v>0</v>
      </c>
      <c r="J55" s="514">
        <v>0</v>
      </c>
      <c r="K55" s="514">
        <v>0</v>
      </c>
      <c r="L55" s="514">
        <v>0</v>
      </c>
      <c r="M55" s="514">
        <v>0</v>
      </c>
      <c r="N55" s="514">
        <v>0</v>
      </c>
      <c r="O55" s="499"/>
      <c r="P55" s="499"/>
      <c r="Q55" s="499"/>
    </row>
    <row r="56" spans="1:17" ht="14.4" x14ac:dyDescent="0.3">
      <c r="A56" s="502">
        <v>1300014</v>
      </c>
      <c r="B56" s="503" t="s">
        <v>1866</v>
      </c>
      <c r="C56" s="514">
        <v>0</v>
      </c>
      <c r="D56" s="514">
        <v>0</v>
      </c>
      <c r="E56" s="514">
        <v>0</v>
      </c>
      <c r="F56" s="514">
        <v>0</v>
      </c>
      <c r="G56" s="514">
        <v>0</v>
      </c>
      <c r="H56" s="514">
        <v>0</v>
      </c>
      <c r="I56" s="514">
        <v>0</v>
      </c>
      <c r="J56" s="514">
        <v>0</v>
      </c>
      <c r="K56" s="514">
        <v>0</v>
      </c>
      <c r="L56" s="514">
        <v>0</v>
      </c>
      <c r="M56" s="514">
        <v>0</v>
      </c>
      <c r="N56" s="514">
        <v>0</v>
      </c>
      <c r="O56" s="499"/>
      <c r="P56" s="499"/>
      <c r="Q56" s="499"/>
    </row>
    <row r="57" spans="1:17" ht="14.4" x14ac:dyDescent="0.3">
      <c r="A57" s="502">
        <v>1300015</v>
      </c>
      <c r="B57" s="503" t="s">
        <v>1867</v>
      </c>
      <c r="C57" s="514">
        <v>0</v>
      </c>
      <c r="D57" s="514">
        <v>0</v>
      </c>
      <c r="E57" s="514">
        <v>0</v>
      </c>
      <c r="F57" s="514">
        <v>0</v>
      </c>
      <c r="G57" s="514">
        <v>0</v>
      </c>
      <c r="H57" s="514">
        <v>0</v>
      </c>
      <c r="I57" s="514">
        <v>0</v>
      </c>
      <c r="J57" s="514">
        <v>0</v>
      </c>
      <c r="K57" s="514">
        <v>0</v>
      </c>
      <c r="L57" s="514">
        <v>0</v>
      </c>
      <c r="M57" s="514">
        <v>0</v>
      </c>
      <c r="N57" s="514">
        <v>0</v>
      </c>
      <c r="O57" s="499"/>
      <c r="P57" s="499"/>
      <c r="Q57" s="499"/>
    </row>
    <row r="58" spans="1:17" ht="14.4" x14ac:dyDescent="0.3">
      <c r="A58" s="502">
        <v>1300016</v>
      </c>
      <c r="B58" s="503" t="s">
        <v>1868</v>
      </c>
      <c r="C58" s="514">
        <v>0</v>
      </c>
      <c r="D58" s="514">
        <v>0</v>
      </c>
      <c r="E58" s="514">
        <v>0</v>
      </c>
      <c r="F58" s="514">
        <v>0</v>
      </c>
      <c r="G58" s="514">
        <v>0</v>
      </c>
      <c r="H58" s="514">
        <v>0</v>
      </c>
      <c r="I58" s="514">
        <v>0</v>
      </c>
      <c r="J58" s="514">
        <v>0</v>
      </c>
      <c r="K58" s="514">
        <v>0</v>
      </c>
      <c r="L58" s="514">
        <v>0</v>
      </c>
      <c r="M58" s="514">
        <v>0</v>
      </c>
      <c r="N58" s="514">
        <v>0</v>
      </c>
      <c r="O58" s="499"/>
      <c r="P58" s="499"/>
      <c r="Q58" s="499"/>
    </row>
    <row r="59" spans="1:17" ht="14.4" x14ac:dyDescent="0.3">
      <c r="A59" s="502">
        <v>1300018</v>
      </c>
      <c r="B59" s="503" t="s">
        <v>1869</v>
      </c>
      <c r="C59" s="514">
        <v>0</v>
      </c>
      <c r="D59" s="514">
        <v>0</v>
      </c>
      <c r="E59" s="514">
        <v>0</v>
      </c>
      <c r="F59" s="514">
        <v>0</v>
      </c>
      <c r="G59" s="514">
        <v>0</v>
      </c>
      <c r="H59" s="514">
        <v>0</v>
      </c>
      <c r="I59" s="514">
        <v>0</v>
      </c>
      <c r="J59" s="514">
        <v>0</v>
      </c>
      <c r="K59" s="514">
        <v>0</v>
      </c>
      <c r="L59" s="514">
        <v>0</v>
      </c>
      <c r="M59" s="514">
        <v>0</v>
      </c>
      <c r="N59" s="514">
        <v>0</v>
      </c>
      <c r="O59" s="499"/>
      <c r="P59" s="499"/>
      <c r="Q59" s="499"/>
    </row>
    <row r="60" spans="1:17" ht="14.4" x14ac:dyDescent="0.3">
      <c r="A60" s="502">
        <v>1300020</v>
      </c>
      <c r="B60" s="503" t="s">
        <v>1870</v>
      </c>
      <c r="C60" s="514">
        <v>0</v>
      </c>
      <c r="D60" s="514">
        <v>0</v>
      </c>
      <c r="E60" s="514">
        <v>0</v>
      </c>
      <c r="F60" s="514">
        <v>0</v>
      </c>
      <c r="G60" s="514">
        <v>0</v>
      </c>
      <c r="H60" s="514">
        <v>0</v>
      </c>
      <c r="I60" s="514">
        <v>0</v>
      </c>
      <c r="J60" s="514">
        <v>0</v>
      </c>
      <c r="K60" s="514">
        <v>0</v>
      </c>
      <c r="L60" s="514">
        <v>0</v>
      </c>
      <c r="M60" s="514">
        <v>0</v>
      </c>
      <c r="N60" s="514">
        <v>0</v>
      </c>
      <c r="O60" s="499"/>
      <c r="P60" s="499"/>
      <c r="Q60" s="499"/>
    </row>
    <row r="61" spans="1:17" ht="14.4" x14ac:dyDescent="0.3">
      <c r="A61" s="502">
        <v>1300021</v>
      </c>
      <c r="B61" s="503" t="s">
        <v>1871</v>
      </c>
      <c r="C61" s="514">
        <v>0</v>
      </c>
      <c r="D61" s="514">
        <v>0</v>
      </c>
      <c r="E61" s="514">
        <v>0</v>
      </c>
      <c r="F61" s="514">
        <v>0</v>
      </c>
      <c r="G61" s="514">
        <v>0</v>
      </c>
      <c r="H61" s="514">
        <v>0</v>
      </c>
      <c r="I61" s="514">
        <v>0</v>
      </c>
      <c r="J61" s="514">
        <v>0</v>
      </c>
      <c r="K61" s="514">
        <v>0</v>
      </c>
      <c r="L61" s="514">
        <v>0</v>
      </c>
      <c r="M61" s="514">
        <v>0</v>
      </c>
      <c r="N61" s="514">
        <v>0</v>
      </c>
      <c r="O61" s="499"/>
      <c r="P61" s="499"/>
      <c r="Q61" s="499"/>
    </row>
    <row r="62" spans="1:17" ht="14.4" x14ac:dyDescent="0.3">
      <c r="A62" s="502">
        <v>1300022</v>
      </c>
      <c r="B62" s="503" t="s">
        <v>1872</v>
      </c>
      <c r="C62" s="514">
        <v>0</v>
      </c>
      <c r="D62" s="514">
        <v>0</v>
      </c>
      <c r="E62" s="514">
        <v>0</v>
      </c>
      <c r="F62" s="514">
        <v>0</v>
      </c>
      <c r="G62" s="514">
        <v>0</v>
      </c>
      <c r="H62" s="514">
        <v>0</v>
      </c>
      <c r="I62" s="514">
        <v>0</v>
      </c>
      <c r="J62" s="514">
        <v>0</v>
      </c>
      <c r="K62" s="514">
        <v>0</v>
      </c>
      <c r="L62" s="514">
        <v>0</v>
      </c>
      <c r="M62" s="514">
        <v>0</v>
      </c>
      <c r="N62" s="514">
        <v>0</v>
      </c>
      <c r="O62" s="499"/>
      <c r="P62" s="499"/>
      <c r="Q62" s="499"/>
    </row>
    <row r="63" spans="1:17" ht="14.4" x14ac:dyDescent="0.3">
      <c r="A63" s="502">
        <v>1300023</v>
      </c>
      <c r="B63" s="503" t="s">
        <v>1873</v>
      </c>
      <c r="C63" s="514">
        <v>0</v>
      </c>
      <c r="D63" s="514">
        <v>0</v>
      </c>
      <c r="E63" s="514">
        <v>0</v>
      </c>
      <c r="F63" s="514">
        <v>0</v>
      </c>
      <c r="G63" s="514">
        <v>0</v>
      </c>
      <c r="H63" s="514">
        <v>0</v>
      </c>
      <c r="I63" s="514">
        <v>0</v>
      </c>
      <c r="J63" s="514">
        <v>0</v>
      </c>
      <c r="K63" s="514">
        <v>0</v>
      </c>
      <c r="L63" s="514">
        <v>0</v>
      </c>
      <c r="M63" s="514">
        <v>0</v>
      </c>
      <c r="N63" s="514">
        <v>0</v>
      </c>
      <c r="O63" s="499"/>
      <c r="P63" s="499"/>
      <c r="Q63" s="499"/>
    </row>
    <row r="64" spans="1:17" ht="14.4" x14ac:dyDescent="0.3">
      <c r="A64" s="502">
        <v>1300024</v>
      </c>
      <c r="B64" s="503" t="s">
        <v>1874</v>
      </c>
      <c r="C64" s="514">
        <v>0</v>
      </c>
      <c r="D64" s="514">
        <v>0</v>
      </c>
      <c r="E64" s="514">
        <v>0</v>
      </c>
      <c r="F64" s="514">
        <v>0</v>
      </c>
      <c r="G64" s="514">
        <v>0</v>
      </c>
      <c r="H64" s="514">
        <v>0</v>
      </c>
      <c r="I64" s="514">
        <v>0</v>
      </c>
      <c r="J64" s="514">
        <v>0</v>
      </c>
      <c r="K64" s="514">
        <v>0</v>
      </c>
      <c r="L64" s="514">
        <v>0</v>
      </c>
      <c r="M64" s="514">
        <v>0</v>
      </c>
      <c r="N64" s="514">
        <v>0</v>
      </c>
      <c r="O64" s="499"/>
      <c r="P64" s="499"/>
      <c r="Q64" s="499"/>
    </row>
    <row r="65" spans="1:17" ht="14.4" x14ac:dyDescent="0.3">
      <c r="A65" s="502">
        <v>1300025</v>
      </c>
      <c r="B65" s="503" t="s">
        <v>1875</v>
      </c>
      <c r="C65" s="514">
        <v>0</v>
      </c>
      <c r="D65" s="514">
        <v>0</v>
      </c>
      <c r="E65" s="514">
        <v>0</v>
      </c>
      <c r="F65" s="514">
        <v>0</v>
      </c>
      <c r="G65" s="514">
        <v>0</v>
      </c>
      <c r="H65" s="514">
        <v>0</v>
      </c>
      <c r="I65" s="514">
        <v>0</v>
      </c>
      <c r="J65" s="514">
        <v>0</v>
      </c>
      <c r="K65" s="514">
        <v>0</v>
      </c>
      <c r="L65" s="514">
        <v>0</v>
      </c>
      <c r="M65" s="514">
        <v>0</v>
      </c>
      <c r="N65" s="514">
        <v>0</v>
      </c>
      <c r="O65" s="499"/>
      <c r="P65" s="499"/>
      <c r="Q65" s="499"/>
    </row>
    <row r="66" spans="1:17" ht="14.4" x14ac:dyDescent="0.3">
      <c r="A66" s="502">
        <v>1300026</v>
      </c>
      <c r="B66" s="503" t="s">
        <v>1876</v>
      </c>
      <c r="C66" s="514">
        <v>0</v>
      </c>
      <c r="D66" s="514">
        <v>0</v>
      </c>
      <c r="E66" s="514">
        <v>0</v>
      </c>
      <c r="F66" s="514">
        <v>0</v>
      </c>
      <c r="G66" s="514">
        <v>0</v>
      </c>
      <c r="H66" s="514">
        <v>0</v>
      </c>
      <c r="I66" s="514">
        <v>0</v>
      </c>
      <c r="J66" s="514">
        <v>0</v>
      </c>
      <c r="K66" s="514">
        <v>0</v>
      </c>
      <c r="L66" s="514">
        <v>0</v>
      </c>
      <c r="M66" s="514">
        <v>0</v>
      </c>
      <c r="N66" s="514">
        <v>0</v>
      </c>
      <c r="O66" s="499"/>
      <c r="P66" s="499"/>
      <c r="Q66" s="499"/>
    </row>
    <row r="67" spans="1:17" ht="14.4" x14ac:dyDescent="0.3">
      <c r="A67" s="502">
        <v>1300028</v>
      </c>
      <c r="B67" s="503" t="s">
        <v>1877</v>
      </c>
      <c r="C67" s="514">
        <v>0</v>
      </c>
      <c r="D67" s="514">
        <v>0</v>
      </c>
      <c r="E67" s="514">
        <v>0</v>
      </c>
      <c r="F67" s="514">
        <v>0</v>
      </c>
      <c r="G67" s="514">
        <v>0</v>
      </c>
      <c r="H67" s="514">
        <v>0</v>
      </c>
      <c r="I67" s="514">
        <v>0</v>
      </c>
      <c r="J67" s="514">
        <v>0</v>
      </c>
      <c r="K67" s="514">
        <v>0</v>
      </c>
      <c r="L67" s="514">
        <v>0</v>
      </c>
      <c r="M67" s="514">
        <v>0</v>
      </c>
      <c r="N67" s="514">
        <v>0</v>
      </c>
      <c r="O67" s="499"/>
      <c r="P67" s="499"/>
      <c r="Q67" s="499"/>
    </row>
    <row r="68" spans="1:17" ht="14.4" x14ac:dyDescent="0.3">
      <c r="A68" s="502">
        <v>1300030</v>
      </c>
      <c r="B68" s="503" t="s">
        <v>1878</v>
      </c>
      <c r="C68" s="514">
        <v>0</v>
      </c>
      <c r="D68" s="514">
        <v>0</v>
      </c>
      <c r="E68" s="514">
        <v>0</v>
      </c>
      <c r="F68" s="514">
        <v>0</v>
      </c>
      <c r="G68" s="514">
        <v>0</v>
      </c>
      <c r="H68" s="514">
        <v>0</v>
      </c>
      <c r="I68" s="514">
        <v>0</v>
      </c>
      <c r="J68" s="514">
        <v>0</v>
      </c>
      <c r="K68" s="514">
        <v>0</v>
      </c>
      <c r="L68" s="514">
        <v>0</v>
      </c>
      <c r="M68" s="514">
        <v>0</v>
      </c>
      <c r="N68" s="514">
        <v>0</v>
      </c>
      <c r="O68" s="499"/>
      <c r="P68" s="499"/>
      <c r="Q68" s="499"/>
    </row>
    <row r="69" spans="1:17" ht="14.4" x14ac:dyDescent="0.3">
      <c r="A69" s="502">
        <v>1300031</v>
      </c>
      <c r="B69" s="503" t="s">
        <v>1879</v>
      </c>
      <c r="C69" s="514">
        <v>0</v>
      </c>
      <c r="D69" s="514">
        <v>0</v>
      </c>
      <c r="E69" s="514">
        <v>0</v>
      </c>
      <c r="F69" s="514">
        <v>0</v>
      </c>
      <c r="G69" s="514">
        <v>0</v>
      </c>
      <c r="H69" s="514">
        <v>0</v>
      </c>
      <c r="I69" s="514">
        <v>0</v>
      </c>
      <c r="J69" s="514">
        <v>0</v>
      </c>
      <c r="K69" s="514">
        <v>0</v>
      </c>
      <c r="L69" s="514">
        <v>0</v>
      </c>
      <c r="M69" s="514">
        <v>0</v>
      </c>
      <c r="N69" s="514">
        <v>0</v>
      </c>
      <c r="O69" s="499"/>
      <c r="P69" s="499"/>
      <c r="Q69" s="499"/>
    </row>
    <row r="70" spans="1:17" ht="14.4" x14ac:dyDescent="0.3">
      <c r="A70" s="502">
        <v>1300032</v>
      </c>
      <c r="B70" s="503" t="s">
        <v>1880</v>
      </c>
      <c r="C70" s="514">
        <v>0</v>
      </c>
      <c r="D70" s="514">
        <v>0</v>
      </c>
      <c r="E70" s="514">
        <v>0</v>
      </c>
      <c r="F70" s="514">
        <v>0</v>
      </c>
      <c r="G70" s="514">
        <v>0</v>
      </c>
      <c r="H70" s="514">
        <v>0</v>
      </c>
      <c r="I70" s="514">
        <v>0</v>
      </c>
      <c r="J70" s="514">
        <v>0</v>
      </c>
      <c r="K70" s="514">
        <v>0</v>
      </c>
      <c r="L70" s="514">
        <v>0</v>
      </c>
      <c r="M70" s="514">
        <v>0</v>
      </c>
      <c r="N70" s="514">
        <v>0</v>
      </c>
      <c r="O70" s="499"/>
      <c r="P70" s="499"/>
      <c r="Q70" s="499"/>
    </row>
    <row r="71" spans="1:17" ht="14.4" x14ac:dyDescent="0.3">
      <c r="A71" s="502">
        <v>1300033</v>
      </c>
      <c r="B71" s="503" t="s">
        <v>1881</v>
      </c>
      <c r="C71" s="514">
        <v>0</v>
      </c>
      <c r="D71" s="514">
        <v>0</v>
      </c>
      <c r="E71" s="514">
        <v>0</v>
      </c>
      <c r="F71" s="514">
        <v>0</v>
      </c>
      <c r="G71" s="514">
        <v>0</v>
      </c>
      <c r="H71" s="514">
        <v>0</v>
      </c>
      <c r="I71" s="514">
        <v>0</v>
      </c>
      <c r="J71" s="514">
        <v>0</v>
      </c>
      <c r="K71" s="514">
        <v>0</v>
      </c>
      <c r="L71" s="514">
        <v>0</v>
      </c>
      <c r="M71" s="514">
        <v>0</v>
      </c>
      <c r="N71" s="514">
        <v>0</v>
      </c>
      <c r="O71" s="499"/>
      <c r="P71" s="499"/>
      <c r="Q71" s="499"/>
    </row>
    <row r="72" spans="1:17" ht="14.4" x14ac:dyDescent="0.3">
      <c r="A72" s="502">
        <v>1300034</v>
      </c>
      <c r="B72" s="503" t="s">
        <v>1882</v>
      </c>
      <c r="C72" s="514">
        <v>0</v>
      </c>
      <c r="D72" s="514">
        <v>0</v>
      </c>
      <c r="E72" s="514">
        <v>0</v>
      </c>
      <c r="F72" s="514">
        <v>0</v>
      </c>
      <c r="G72" s="514">
        <v>0</v>
      </c>
      <c r="H72" s="514">
        <v>0</v>
      </c>
      <c r="I72" s="514">
        <v>0</v>
      </c>
      <c r="J72" s="514">
        <v>0</v>
      </c>
      <c r="K72" s="514">
        <v>0</v>
      </c>
      <c r="L72" s="514">
        <v>0</v>
      </c>
      <c r="M72" s="514">
        <v>0</v>
      </c>
      <c r="N72" s="514">
        <v>0</v>
      </c>
      <c r="O72" s="499"/>
      <c r="P72" s="499"/>
      <c r="Q72" s="499"/>
    </row>
    <row r="73" spans="1:17" ht="14.4" x14ac:dyDescent="0.3">
      <c r="A73" s="502">
        <v>1300035</v>
      </c>
      <c r="B73" s="503" t="s">
        <v>1883</v>
      </c>
      <c r="C73" s="514">
        <v>0</v>
      </c>
      <c r="D73" s="514">
        <v>0</v>
      </c>
      <c r="E73" s="514">
        <v>0</v>
      </c>
      <c r="F73" s="514">
        <v>0</v>
      </c>
      <c r="G73" s="514">
        <v>0</v>
      </c>
      <c r="H73" s="514">
        <v>0</v>
      </c>
      <c r="I73" s="514">
        <v>0</v>
      </c>
      <c r="J73" s="514">
        <v>0</v>
      </c>
      <c r="K73" s="514">
        <v>0</v>
      </c>
      <c r="L73" s="514">
        <v>0</v>
      </c>
      <c r="M73" s="514">
        <v>0</v>
      </c>
      <c r="N73" s="514">
        <v>0</v>
      </c>
      <c r="O73" s="499"/>
      <c r="P73" s="499"/>
      <c r="Q73" s="499"/>
    </row>
    <row r="74" spans="1:17" ht="14.4" x14ac:dyDescent="0.3">
      <c r="A74" s="502">
        <v>1300036</v>
      </c>
      <c r="B74" s="503" t="s">
        <v>1884</v>
      </c>
      <c r="C74" s="514">
        <v>0</v>
      </c>
      <c r="D74" s="514">
        <v>0</v>
      </c>
      <c r="E74" s="514">
        <v>0</v>
      </c>
      <c r="F74" s="514">
        <v>0</v>
      </c>
      <c r="G74" s="514">
        <v>0</v>
      </c>
      <c r="H74" s="514">
        <v>0</v>
      </c>
      <c r="I74" s="514">
        <v>0</v>
      </c>
      <c r="J74" s="514">
        <v>0</v>
      </c>
      <c r="K74" s="514">
        <v>0</v>
      </c>
      <c r="L74" s="514">
        <v>0</v>
      </c>
      <c r="M74" s="514">
        <v>0</v>
      </c>
      <c r="N74" s="514">
        <v>0</v>
      </c>
      <c r="O74" s="499"/>
      <c r="P74" s="499"/>
      <c r="Q74" s="499"/>
    </row>
    <row r="75" spans="1:17" ht="14.4" x14ac:dyDescent="0.3">
      <c r="A75" s="502">
        <v>1300038</v>
      </c>
      <c r="B75" s="503" t="s">
        <v>1885</v>
      </c>
      <c r="C75" s="514">
        <v>0</v>
      </c>
      <c r="D75" s="514">
        <v>0</v>
      </c>
      <c r="E75" s="514">
        <v>0</v>
      </c>
      <c r="F75" s="514">
        <v>0</v>
      </c>
      <c r="G75" s="514">
        <v>0</v>
      </c>
      <c r="H75" s="514">
        <v>0</v>
      </c>
      <c r="I75" s="514">
        <v>0</v>
      </c>
      <c r="J75" s="514">
        <v>0</v>
      </c>
      <c r="K75" s="514">
        <v>0</v>
      </c>
      <c r="L75" s="514">
        <v>0</v>
      </c>
      <c r="M75" s="514">
        <v>0</v>
      </c>
      <c r="N75" s="514">
        <v>0</v>
      </c>
      <c r="O75" s="499"/>
      <c r="P75" s="499"/>
      <c r="Q75" s="499"/>
    </row>
    <row r="76" spans="1:17" ht="14.4" x14ac:dyDescent="0.3">
      <c r="A76" s="502">
        <v>1300040</v>
      </c>
      <c r="B76" s="503" t="s">
        <v>1886</v>
      </c>
      <c r="C76" s="514">
        <v>0</v>
      </c>
      <c r="D76" s="514">
        <v>0</v>
      </c>
      <c r="E76" s="514">
        <v>0</v>
      </c>
      <c r="F76" s="514">
        <v>0</v>
      </c>
      <c r="G76" s="514">
        <v>0</v>
      </c>
      <c r="H76" s="514">
        <v>0</v>
      </c>
      <c r="I76" s="514">
        <v>0</v>
      </c>
      <c r="J76" s="514">
        <v>0</v>
      </c>
      <c r="K76" s="514">
        <v>0</v>
      </c>
      <c r="L76" s="514">
        <v>0</v>
      </c>
      <c r="M76" s="514">
        <v>0</v>
      </c>
      <c r="N76" s="514">
        <v>0</v>
      </c>
      <c r="O76" s="499"/>
      <c r="P76" s="499"/>
      <c r="Q76" s="499"/>
    </row>
    <row r="77" spans="1:17" ht="14.4" x14ac:dyDescent="0.3">
      <c r="A77" s="502">
        <v>1300041</v>
      </c>
      <c r="B77" s="503" t="s">
        <v>1887</v>
      </c>
      <c r="C77" s="514">
        <v>0</v>
      </c>
      <c r="D77" s="514">
        <v>0</v>
      </c>
      <c r="E77" s="514">
        <v>0</v>
      </c>
      <c r="F77" s="514">
        <v>0</v>
      </c>
      <c r="G77" s="514">
        <v>0</v>
      </c>
      <c r="H77" s="514">
        <v>0</v>
      </c>
      <c r="I77" s="514">
        <v>0</v>
      </c>
      <c r="J77" s="514">
        <v>0</v>
      </c>
      <c r="K77" s="514">
        <v>0</v>
      </c>
      <c r="L77" s="514">
        <v>0</v>
      </c>
      <c r="M77" s="514">
        <v>0</v>
      </c>
      <c r="N77" s="514">
        <v>0</v>
      </c>
      <c r="O77" s="499"/>
      <c r="P77" s="499"/>
      <c r="Q77" s="499"/>
    </row>
    <row r="78" spans="1:17" ht="14.4" x14ac:dyDescent="0.3">
      <c r="A78" s="502">
        <v>1300042</v>
      </c>
      <c r="B78" s="503" t="s">
        <v>1888</v>
      </c>
      <c r="C78" s="514">
        <v>0</v>
      </c>
      <c r="D78" s="514">
        <v>0</v>
      </c>
      <c r="E78" s="514">
        <v>0</v>
      </c>
      <c r="F78" s="514">
        <v>0</v>
      </c>
      <c r="G78" s="514">
        <v>0</v>
      </c>
      <c r="H78" s="514">
        <v>0</v>
      </c>
      <c r="I78" s="514">
        <v>0</v>
      </c>
      <c r="J78" s="514">
        <v>0</v>
      </c>
      <c r="K78" s="514">
        <v>0</v>
      </c>
      <c r="L78" s="514">
        <v>0</v>
      </c>
      <c r="M78" s="514">
        <v>0</v>
      </c>
      <c r="N78" s="514">
        <v>0</v>
      </c>
      <c r="O78" s="499"/>
      <c r="P78" s="499"/>
      <c r="Q78" s="499"/>
    </row>
    <row r="79" spans="1:17" ht="14.4" x14ac:dyDescent="0.3">
      <c r="A79" s="502">
        <v>1300043</v>
      </c>
      <c r="B79" s="503" t="s">
        <v>1889</v>
      </c>
      <c r="C79" s="514">
        <v>0</v>
      </c>
      <c r="D79" s="514">
        <v>0</v>
      </c>
      <c r="E79" s="514">
        <v>0</v>
      </c>
      <c r="F79" s="514">
        <v>0</v>
      </c>
      <c r="G79" s="514">
        <v>0</v>
      </c>
      <c r="H79" s="514">
        <v>0</v>
      </c>
      <c r="I79" s="514">
        <v>0</v>
      </c>
      <c r="J79" s="514">
        <v>0</v>
      </c>
      <c r="K79" s="514">
        <v>0</v>
      </c>
      <c r="L79" s="514">
        <v>0</v>
      </c>
      <c r="M79" s="514">
        <v>0</v>
      </c>
      <c r="N79" s="514">
        <v>0</v>
      </c>
      <c r="O79" s="499"/>
      <c r="P79" s="499"/>
      <c r="Q79" s="499"/>
    </row>
    <row r="80" spans="1:17" ht="14.4" x14ac:dyDescent="0.3">
      <c r="A80" s="502">
        <v>1300044</v>
      </c>
      <c r="B80" s="503" t="s">
        <v>1890</v>
      </c>
      <c r="C80" s="514">
        <v>0</v>
      </c>
      <c r="D80" s="514">
        <v>0</v>
      </c>
      <c r="E80" s="514">
        <v>0</v>
      </c>
      <c r="F80" s="514">
        <v>0</v>
      </c>
      <c r="G80" s="514">
        <v>0</v>
      </c>
      <c r="H80" s="514">
        <v>0</v>
      </c>
      <c r="I80" s="514">
        <v>0</v>
      </c>
      <c r="J80" s="514">
        <v>0</v>
      </c>
      <c r="K80" s="514">
        <v>0</v>
      </c>
      <c r="L80" s="514">
        <v>0</v>
      </c>
      <c r="M80" s="514">
        <v>0</v>
      </c>
      <c r="N80" s="514">
        <v>0</v>
      </c>
      <c r="O80" s="499"/>
      <c r="P80" s="499"/>
      <c r="Q80" s="499"/>
    </row>
    <row r="81" spans="1:17" ht="14.4" x14ac:dyDescent="0.3">
      <c r="A81" s="502">
        <v>1300045</v>
      </c>
      <c r="B81" s="503" t="s">
        <v>1891</v>
      </c>
      <c r="C81" s="514">
        <v>0</v>
      </c>
      <c r="D81" s="514">
        <v>0</v>
      </c>
      <c r="E81" s="514">
        <v>0</v>
      </c>
      <c r="F81" s="514">
        <v>0</v>
      </c>
      <c r="G81" s="514">
        <v>0</v>
      </c>
      <c r="H81" s="514">
        <v>0</v>
      </c>
      <c r="I81" s="514">
        <v>0</v>
      </c>
      <c r="J81" s="514">
        <v>0</v>
      </c>
      <c r="K81" s="514">
        <v>0</v>
      </c>
      <c r="L81" s="514">
        <v>0</v>
      </c>
      <c r="M81" s="514">
        <v>0</v>
      </c>
      <c r="N81" s="514">
        <v>0</v>
      </c>
      <c r="O81" s="499"/>
      <c r="P81" s="499"/>
      <c r="Q81" s="499"/>
    </row>
    <row r="82" spans="1:17" ht="14.4" x14ac:dyDescent="0.3">
      <c r="A82" s="502">
        <v>1300046</v>
      </c>
      <c r="B82" s="503" t="s">
        <v>1892</v>
      </c>
      <c r="C82" s="514">
        <v>0</v>
      </c>
      <c r="D82" s="514">
        <v>0</v>
      </c>
      <c r="E82" s="514">
        <v>0</v>
      </c>
      <c r="F82" s="514">
        <v>0</v>
      </c>
      <c r="G82" s="514">
        <v>0</v>
      </c>
      <c r="H82" s="514">
        <v>0</v>
      </c>
      <c r="I82" s="514">
        <v>0</v>
      </c>
      <c r="J82" s="514">
        <v>0</v>
      </c>
      <c r="K82" s="514">
        <v>0</v>
      </c>
      <c r="L82" s="514">
        <v>0</v>
      </c>
      <c r="M82" s="514">
        <v>0</v>
      </c>
      <c r="N82" s="514">
        <v>0</v>
      </c>
      <c r="O82" s="499"/>
      <c r="P82" s="499"/>
      <c r="Q82" s="499"/>
    </row>
    <row r="83" spans="1:17" ht="14.4" x14ac:dyDescent="0.3">
      <c r="A83" s="502">
        <v>1300048</v>
      </c>
      <c r="B83" s="503" t="s">
        <v>1893</v>
      </c>
      <c r="C83" s="514">
        <v>0</v>
      </c>
      <c r="D83" s="514">
        <v>0</v>
      </c>
      <c r="E83" s="514">
        <v>0</v>
      </c>
      <c r="F83" s="514">
        <v>0</v>
      </c>
      <c r="G83" s="514">
        <v>0</v>
      </c>
      <c r="H83" s="514">
        <v>0</v>
      </c>
      <c r="I83" s="514">
        <v>0</v>
      </c>
      <c r="J83" s="514">
        <v>0</v>
      </c>
      <c r="K83" s="514">
        <v>0</v>
      </c>
      <c r="L83" s="514">
        <v>0</v>
      </c>
      <c r="M83" s="514">
        <v>0</v>
      </c>
      <c r="N83" s="514">
        <v>0</v>
      </c>
      <c r="O83" s="499"/>
      <c r="P83" s="499"/>
      <c r="Q83" s="499"/>
    </row>
    <row r="84" spans="1:17" ht="14.4" x14ac:dyDescent="0.3">
      <c r="A84" s="502">
        <v>1300050</v>
      </c>
      <c r="B84" s="503" t="s">
        <v>1894</v>
      </c>
      <c r="C84" s="514">
        <v>0</v>
      </c>
      <c r="D84" s="514">
        <v>0</v>
      </c>
      <c r="E84" s="514">
        <v>0</v>
      </c>
      <c r="F84" s="514">
        <v>0</v>
      </c>
      <c r="G84" s="514">
        <v>0</v>
      </c>
      <c r="H84" s="514">
        <v>0</v>
      </c>
      <c r="I84" s="514">
        <v>0</v>
      </c>
      <c r="J84" s="514">
        <v>0</v>
      </c>
      <c r="K84" s="514">
        <v>0</v>
      </c>
      <c r="L84" s="514">
        <v>0</v>
      </c>
      <c r="M84" s="514">
        <v>0</v>
      </c>
      <c r="N84" s="514">
        <v>0</v>
      </c>
      <c r="O84" s="499"/>
      <c r="P84" s="499"/>
      <c r="Q84" s="499"/>
    </row>
    <row r="85" spans="1:17" ht="14.4" x14ac:dyDescent="0.3">
      <c r="A85" s="502">
        <v>1300053</v>
      </c>
      <c r="B85" s="503" t="s">
        <v>1895</v>
      </c>
      <c r="C85" s="514">
        <v>0</v>
      </c>
      <c r="D85" s="514">
        <v>0</v>
      </c>
      <c r="E85" s="514">
        <v>0</v>
      </c>
      <c r="F85" s="514">
        <v>0</v>
      </c>
      <c r="G85" s="514">
        <v>0</v>
      </c>
      <c r="H85" s="514">
        <v>0</v>
      </c>
      <c r="I85" s="514">
        <v>0</v>
      </c>
      <c r="J85" s="514">
        <v>0</v>
      </c>
      <c r="K85" s="514">
        <v>0</v>
      </c>
      <c r="L85" s="514">
        <v>0</v>
      </c>
      <c r="M85" s="514">
        <v>0</v>
      </c>
      <c r="N85" s="514">
        <v>0</v>
      </c>
      <c r="O85" s="499"/>
      <c r="P85" s="499"/>
      <c r="Q85" s="499"/>
    </row>
    <row r="86" spans="1:17" ht="14.4" x14ac:dyDescent="0.3">
      <c r="A86" s="502">
        <v>1300054</v>
      </c>
      <c r="B86" s="503" t="s">
        <v>1896</v>
      </c>
      <c r="C86" s="514">
        <v>0</v>
      </c>
      <c r="D86" s="514">
        <v>0</v>
      </c>
      <c r="E86" s="514">
        <v>0</v>
      </c>
      <c r="F86" s="514">
        <v>0</v>
      </c>
      <c r="G86" s="514">
        <v>0</v>
      </c>
      <c r="H86" s="514">
        <v>0</v>
      </c>
      <c r="I86" s="514">
        <v>0</v>
      </c>
      <c r="J86" s="514">
        <v>0</v>
      </c>
      <c r="K86" s="514">
        <v>0</v>
      </c>
      <c r="L86" s="514">
        <v>0</v>
      </c>
      <c r="M86" s="514">
        <v>0</v>
      </c>
      <c r="N86" s="514">
        <v>0</v>
      </c>
      <c r="O86" s="499"/>
      <c r="P86" s="499"/>
      <c r="Q86" s="499"/>
    </row>
    <row r="87" spans="1:17" ht="14.4" x14ac:dyDescent="0.3">
      <c r="A87" s="502">
        <v>1300058</v>
      </c>
      <c r="B87" s="503" t="s">
        <v>1897</v>
      </c>
      <c r="C87" s="514">
        <v>0</v>
      </c>
      <c r="D87" s="514">
        <v>0</v>
      </c>
      <c r="E87" s="514">
        <v>0</v>
      </c>
      <c r="F87" s="514">
        <v>0</v>
      </c>
      <c r="G87" s="514">
        <v>0</v>
      </c>
      <c r="H87" s="514">
        <v>0</v>
      </c>
      <c r="I87" s="514">
        <v>0</v>
      </c>
      <c r="J87" s="514">
        <v>0</v>
      </c>
      <c r="K87" s="514">
        <v>0</v>
      </c>
      <c r="L87" s="514">
        <v>0</v>
      </c>
      <c r="M87" s="514">
        <v>0</v>
      </c>
      <c r="N87" s="514">
        <v>0</v>
      </c>
      <c r="O87" s="499"/>
      <c r="P87" s="499"/>
      <c r="Q87" s="499"/>
    </row>
    <row r="88" spans="1:17" ht="14.4" x14ac:dyDescent="0.3">
      <c r="A88" s="502">
        <v>1300060</v>
      </c>
      <c r="B88" s="503" t="s">
        <v>1898</v>
      </c>
      <c r="C88" s="514">
        <v>0</v>
      </c>
      <c r="D88" s="514">
        <v>0</v>
      </c>
      <c r="E88" s="514">
        <v>0</v>
      </c>
      <c r="F88" s="514">
        <v>0</v>
      </c>
      <c r="G88" s="514">
        <v>0</v>
      </c>
      <c r="H88" s="514">
        <v>0</v>
      </c>
      <c r="I88" s="514">
        <v>0</v>
      </c>
      <c r="J88" s="514">
        <v>0</v>
      </c>
      <c r="K88" s="514">
        <v>0</v>
      </c>
      <c r="L88" s="514">
        <v>0</v>
      </c>
      <c r="M88" s="514">
        <v>0</v>
      </c>
      <c r="N88" s="514">
        <v>0</v>
      </c>
      <c r="O88" s="499"/>
      <c r="P88" s="499"/>
      <c r="Q88" s="499"/>
    </row>
    <row r="89" spans="1:17" ht="14.4" x14ac:dyDescent="0.3">
      <c r="A89" s="502">
        <v>1300063</v>
      </c>
      <c r="B89" s="503" t="s">
        <v>1899</v>
      </c>
      <c r="C89" s="514">
        <v>0</v>
      </c>
      <c r="D89" s="514">
        <v>0</v>
      </c>
      <c r="E89" s="514">
        <v>0</v>
      </c>
      <c r="F89" s="514">
        <v>0</v>
      </c>
      <c r="G89" s="514">
        <v>0</v>
      </c>
      <c r="H89" s="514">
        <v>0</v>
      </c>
      <c r="I89" s="514">
        <v>0</v>
      </c>
      <c r="J89" s="514">
        <v>0</v>
      </c>
      <c r="K89" s="514">
        <v>0</v>
      </c>
      <c r="L89" s="514">
        <v>0</v>
      </c>
      <c r="M89" s="514">
        <v>0</v>
      </c>
      <c r="N89" s="514">
        <v>0</v>
      </c>
      <c r="O89" s="499"/>
      <c r="P89" s="499"/>
      <c r="Q89" s="499"/>
    </row>
    <row r="90" spans="1:17" ht="14.4" x14ac:dyDescent="0.3">
      <c r="A90" s="502">
        <v>1300064</v>
      </c>
      <c r="B90" s="503" t="s">
        <v>1900</v>
      </c>
      <c r="C90" s="514">
        <v>0</v>
      </c>
      <c r="D90" s="514">
        <v>0</v>
      </c>
      <c r="E90" s="514">
        <v>0</v>
      </c>
      <c r="F90" s="514">
        <v>0</v>
      </c>
      <c r="G90" s="514">
        <v>0</v>
      </c>
      <c r="H90" s="514">
        <v>0</v>
      </c>
      <c r="I90" s="514">
        <v>0</v>
      </c>
      <c r="J90" s="514">
        <v>0</v>
      </c>
      <c r="K90" s="514">
        <v>0</v>
      </c>
      <c r="L90" s="514">
        <v>0</v>
      </c>
      <c r="M90" s="514">
        <v>0</v>
      </c>
      <c r="N90" s="514">
        <v>0</v>
      </c>
      <c r="O90" s="499"/>
      <c r="P90" s="499"/>
      <c r="Q90" s="499"/>
    </row>
    <row r="91" spans="1:17" ht="14.4" x14ac:dyDescent="0.3">
      <c r="A91" s="502">
        <v>1300068</v>
      </c>
      <c r="B91" s="503" t="s">
        <v>1901</v>
      </c>
      <c r="C91" s="514">
        <v>0</v>
      </c>
      <c r="D91" s="514">
        <v>0</v>
      </c>
      <c r="E91" s="514">
        <v>0</v>
      </c>
      <c r="F91" s="514">
        <v>0</v>
      </c>
      <c r="G91" s="514">
        <v>0</v>
      </c>
      <c r="H91" s="514">
        <v>0</v>
      </c>
      <c r="I91" s="514">
        <v>0</v>
      </c>
      <c r="J91" s="514">
        <v>0</v>
      </c>
      <c r="K91" s="514">
        <v>0</v>
      </c>
      <c r="L91" s="514">
        <v>0</v>
      </c>
      <c r="M91" s="514">
        <v>0</v>
      </c>
      <c r="N91" s="514">
        <v>0</v>
      </c>
      <c r="O91" s="499"/>
      <c r="P91" s="499"/>
      <c r="Q91" s="499"/>
    </row>
    <row r="92" spans="1:17" ht="14.4" x14ac:dyDescent="0.3">
      <c r="A92" s="502">
        <v>1300100</v>
      </c>
      <c r="B92" s="503" t="s">
        <v>1902</v>
      </c>
      <c r="C92" s="514">
        <v>0</v>
      </c>
      <c r="D92" s="514">
        <v>0</v>
      </c>
      <c r="E92" s="514">
        <v>0</v>
      </c>
      <c r="F92" s="514">
        <v>0</v>
      </c>
      <c r="G92" s="514">
        <v>0</v>
      </c>
      <c r="H92" s="514">
        <v>0</v>
      </c>
      <c r="I92" s="514">
        <v>0</v>
      </c>
      <c r="J92" s="514">
        <v>0</v>
      </c>
      <c r="K92" s="514">
        <v>0</v>
      </c>
      <c r="L92" s="514">
        <v>0</v>
      </c>
      <c r="M92" s="514">
        <v>0</v>
      </c>
      <c r="N92" s="514">
        <v>0</v>
      </c>
      <c r="O92" s="499"/>
      <c r="P92" s="499"/>
      <c r="Q92" s="499"/>
    </row>
    <row r="93" spans="1:17" ht="14.4" x14ac:dyDescent="0.3">
      <c r="A93" s="502">
        <v>1300200</v>
      </c>
      <c r="B93" s="503" t="s">
        <v>1903</v>
      </c>
      <c r="C93" s="514">
        <v>0</v>
      </c>
      <c r="D93" s="514">
        <v>0</v>
      </c>
      <c r="E93" s="514">
        <v>0</v>
      </c>
      <c r="F93" s="514">
        <v>0</v>
      </c>
      <c r="G93" s="514">
        <v>0</v>
      </c>
      <c r="H93" s="514">
        <v>0</v>
      </c>
      <c r="I93" s="514">
        <v>0</v>
      </c>
      <c r="J93" s="514">
        <v>0</v>
      </c>
      <c r="K93" s="514">
        <v>0</v>
      </c>
      <c r="L93" s="514">
        <v>0</v>
      </c>
      <c r="M93" s="514">
        <v>0</v>
      </c>
      <c r="N93" s="514">
        <v>0</v>
      </c>
      <c r="O93" s="499"/>
      <c r="P93" s="499"/>
      <c r="Q93" s="499"/>
    </row>
    <row r="94" spans="1:17" ht="14.4" x14ac:dyDescent="0.3">
      <c r="A94" s="502">
        <v>1310000</v>
      </c>
      <c r="B94" s="503" t="s">
        <v>1904</v>
      </c>
      <c r="C94" s="514">
        <v>0</v>
      </c>
      <c r="D94" s="514">
        <v>0</v>
      </c>
      <c r="E94" s="514">
        <v>0</v>
      </c>
      <c r="F94" s="514">
        <v>0</v>
      </c>
      <c r="G94" s="514">
        <v>0</v>
      </c>
      <c r="H94" s="514">
        <v>0</v>
      </c>
      <c r="I94" s="514">
        <v>0</v>
      </c>
      <c r="J94" s="514">
        <v>0</v>
      </c>
      <c r="K94" s="514">
        <v>0</v>
      </c>
      <c r="L94" s="514">
        <v>0</v>
      </c>
      <c r="M94" s="514">
        <v>0</v>
      </c>
      <c r="N94" s="514">
        <v>0</v>
      </c>
      <c r="O94" s="499"/>
      <c r="P94" s="499"/>
      <c r="Q94" s="499"/>
    </row>
    <row r="95" spans="1:17" ht="14.4" x14ac:dyDescent="0.3">
      <c r="A95" s="502">
        <v>1310001</v>
      </c>
      <c r="B95" s="503" t="s">
        <v>1905</v>
      </c>
      <c r="C95" s="514">
        <v>0</v>
      </c>
      <c r="D95" s="514">
        <v>0</v>
      </c>
      <c r="E95" s="514">
        <v>0</v>
      </c>
      <c r="F95" s="514">
        <v>0</v>
      </c>
      <c r="G95" s="514">
        <v>0</v>
      </c>
      <c r="H95" s="514">
        <v>0</v>
      </c>
      <c r="I95" s="514">
        <v>0</v>
      </c>
      <c r="J95" s="514">
        <v>0</v>
      </c>
      <c r="K95" s="514">
        <v>0</v>
      </c>
      <c r="L95" s="514">
        <v>0</v>
      </c>
      <c r="M95" s="514">
        <v>0</v>
      </c>
      <c r="N95" s="514">
        <v>0</v>
      </c>
      <c r="O95" s="499"/>
      <c r="P95" s="499"/>
      <c r="Q95" s="499"/>
    </row>
    <row r="96" spans="1:17" ht="14.4" x14ac:dyDescent="0.3">
      <c r="A96" s="502">
        <v>1310002</v>
      </c>
      <c r="B96" s="503" t="s">
        <v>1906</v>
      </c>
      <c r="C96" s="514">
        <v>0</v>
      </c>
      <c r="D96" s="514">
        <v>0</v>
      </c>
      <c r="E96" s="514">
        <v>0</v>
      </c>
      <c r="F96" s="514">
        <v>0</v>
      </c>
      <c r="G96" s="514">
        <v>0</v>
      </c>
      <c r="H96" s="514">
        <v>0</v>
      </c>
      <c r="I96" s="514">
        <v>0</v>
      </c>
      <c r="J96" s="514">
        <v>0</v>
      </c>
      <c r="K96" s="514">
        <v>0</v>
      </c>
      <c r="L96" s="514">
        <v>0</v>
      </c>
      <c r="M96" s="514">
        <v>0</v>
      </c>
      <c r="N96" s="514">
        <v>0</v>
      </c>
      <c r="O96" s="499"/>
      <c r="P96" s="499"/>
      <c r="Q96" s="499"/>
    </row>
    <row r="97" spans="1:17" ht="14.4" x14ac:dyDescent="0.3">
      <c r="A97" s="502">
        <v>1310003</v>
      </c>
      <c r="B97" s="503" t="s">
        <v>1907</v>
      </c>
      <c r="C97" s="514">
        <v>0</v>
      </c>
      <c r="D97" s="514">
        <v>0</v>
      </c>
      <c r="E97" s="514">
        <v>0</v>
      </c>
      <c r="F97" s="514">
        <v>0</v>
      </c>
      <c r="G97" s="514">
        <v>0</v>
      </c>
      <c r="H97" s="514">
        <v>0</v>
      </c>
      <c r="I97" s="514">
        <v>0</v>
      </c>
      <c r="J97" s="514">
        <v>0</v>
      </c>
      <c r="K97" s="514">
        <v>0</v>
      </c>
      <c r="L97" s="514">
        <v>0</v>
      </c>
      <c r="M97" s="514">
        <v>0</v>
      </c>
      <c r="N97" s="514">
        <v>0</v>
      </c>
      <c r="O97" s="499"/>
      <c r="P97" s="499"/>
      <c r="Q97" s="499"/>
    </row>
    <row r="98" spans="1:17" ht="14.4" x14ac:dyDescent="0.3">
      <c r="A98" s="502">
        <v>1310004</v>
      </c>
      <c r="B98" s="503" t="s">
        <v>1908</v>
      </c>
      <c r="C98" s="514">
        <v>0</v>
      </c>
      <c r="D98" s="514">
        <v>0</v>
      </c>
      <c r="E98" s="514">
        <v>0</v>
      </c>
      <c r="F98" s="514">
        <v>0</v>
      </c>
      <c r="G98" s="514">
        <v>0</v>
      </c>
      <c r="H98" s="514">
        <v>0</v>
      </c>
      <c r="I98" s="514">
        <v>0</v>
      </c>
      <c r="J98" s="514">
        <v>0</v>
      </c>
      <c r="K98" s="514">
        <v>0</v>
      </c>
      <c r="L98" s="514">
        <v>0</v>
      </c>
      <c r="M98" s="514">
        <v>0</v>
      </c>
      <c r="N98" s="514">
        <v>0</v>
      </c>
      <c r="O98" s="499"/>
      <c r="P98" s="499"/>
      <c r="Q98" s="499"/>
    </row>
    <row r="99" spans="1:17" ht="14.4" x14ac:dyDescent="0.3">
      <c r="A99" s="502">
        <v>1310005</v>
      </c>
      <c r="B99" s="503" t="s">
        <v>1909</v>
      </c>
      <c r="C99" s="514">
        <v>0</v>
      </c>
      <c r="D99" s="514">
        <v>0</v>
      </c>
      <c r="E99" s="514">
        <v>0</v>
      </c>
      <c r="F99" s="514">
        <v>0</v>
      </c>
      <c r="G99" s="514">
        <v>0</v>
      </c>
      <c r="H99" s="514">
        <v>0</v>
      </c>
      <c r="I99" s="514">
        <v>0</v>
      </c>
      <c r="J99" s="514">
        <v>0</v>
      </c>
      <c r="K99" s="514">
        <v>0</v>
      </c>
      <c r="L99" s="514">
        <v>0</v>
      </c>
      <c r="M99" s="514">
        <v>0</v>
      </c>
      <c r="N99" s="514">
        <v>0</v>
      </c>
      <c r="O99" s="499"/>
      <c r="P99" s="499"/>
      <c r="Q99" s="499"/>
    </row>
    <row r="100" spans="1:17" ht="14.4" x14ac:dyDescent="0.3">
      <c r="A100" s="502">
        <v>1310006</v>
      </c>
      <c r="B100" s="503" t="s">
        <v>1910</v>
      </c>
      <c r="C100" s="514">
        <v>0</v>
      </c>
      <c r="D100" s="514">
        <v>0</v>
      </c>
      <c r="E100" s="514">
        <v>0</v>
      </c>
      <c r="F100" s="514">
        <v>0</v>
      </c>
      <c r="G100" s="514">
        <v>0</v>
      </c>
      <c r="H100" s="514">
        <v>0</v>
      </c>
      <c r="I100" s="514">
        <v>0</v>
      </c>
      <c r="J100" s="514">
        <v>0</v>
      </c>
      <c r="K100" s="514">
        <v>0</v>
      </c>
      <c r="L100" s="514">
        <v>0</v>
      </c>
      <c r="M100" s="514">
        <v>0</v>
      </c>
      <c r="N100" s="514">
        <v>0</v>
      </c>
      <c r="O100" s="499"/>
      <c r="P100" s="499"/>
      <c r="Q100" s="499"/>
    </row>
    <row r="101" spans="1:17" ht="14.4" x14ac:dyDescent="0.3">
      <c r="A101" s="502">
        <v>1310007</v>
      </c>
      <c r="B101" s="503" t="s">
        <v>1911</v>
      </c>
      <c r="C101" s="514">
        <v>0</v>
      </c>
      <c r="D101" s="514">
        <v>0</v>
      </c>
      <c r="E101" s="514">
        <v>0</v>
      </c>
      <c r="F101" s="514">
        <v>0</v>
      </c>
      <c r="G101" s="514">
        <v>0</v>
      </c>
      <c r="H101" s="514">
        <v>0</v>
      </c>
      <c r="I101" s="514">
        <v>0</v>
      </c>
      <c r="J101" s="514">
        <v>0</v>
      </c>
      <c r="K101" s="514">
        <v>0</v>
      </c>
      <c r="L101" s="514">
        <v>0</v>
      </c>
      <c r="M101" s="514">
        <v>0</v>
      </c>
      <c r="N101" s="514">
        <v>0</v>
      </c>
      <c r="O101" s="499"/>
      <c r="P101" s="499"/>
      <c r="Q101" s="499"/>
    </row>
    <row r="102" spans="1:17" ht="14.4" x14ac:dyDescent="0.3">
      <c r="A102" s="502">
        <v>1310008</v>
      </c>
      <c r="B102" s="503" t="s">
        <v>1912</v>
      </c>
      <c r="C102" s="514">
        <v>0</v>
      </c>
      <c r="D102" s="514">
        <v>0</v>
      </c>
      <c r="E102" s="514">
        <v>0</v>
      </c>
      <c r="F102" s="514">
        <v>0</v>
      </c>
      <c r="G102" s="514">
        <v>0</v>
      </c>
      <c r="H102" s="514">
        <v>0</v>
      </c>
      <c r="I102" s="514">
        <v>0</v>
      </c>
      <c r="J102" s="514">
        <v>0</v>
      </c>
      <c r="K102" s="514">
        <v>0</v>
      </c>
      <c r="L102" s="514">
        <v>0</v>
      </c>
      <c r="M102" s="514">
        <v>0</v>
      </c>
      <c r="N102" s="514">
        <v>0</v>
      </c>
      <c r="O102" s="499"/>
      <c r="P102" s="499"/>
      <c r="Q102" s="499"/>
    </row>
    <row r="103" spans="1:17" ht="14.4" x14ac:dyDescent="0.3">
      <c r="A103" s="502">
        <v>1310010</v>
      </c>
      <c r="B103" s="503" t="s">
        <v>1913</v>
      </c>
      <c r="C103" s="514">
        <v>0</v>
      </c>
      <c r="D103" s="514">
        <v>0</v>
      </c>
      <c r="E103" s="514">
        <v>0</v>
      </c>
      <c r="F103" s="514">
        <v>0</v>
      </c>
      <c r="G103" s="514">
        <v>0</v>
      </c>
      <c r="H103" s="514">
        <v>0</v>
      </c>
      <c r="I103" s="514">
        <v>0</v>
      </c>
      <c r="J103" s="514">
        <v>0</v>
      </c>
      <c r="K103" s="514">
        <v>0</v>
      </c>
      <c r="L103" s="514">
        <v>0</v>
      </c>
      <c r="M103" s="514">
        <v>0</v>
      </c>
      <c r="N103" s="514">
        <v>0</v>
      </c>
      <c r="O103" s="499"/>
      <c r="P103" s="499"/>
      <c r="Q103" s="499"/>
    </row>
    <row r="104" spans="1:17" ht="14.4" x14ac:dyDescent="0.3">
      <c r="A104" s="502">
        <v>1310011</v>
      </c>
      <c r="B104" s="503" t="s">
        <v>1914</v>
      </c>
      <c r="C104" s="514">
        <v>0</v>
      </c>
      <c r="D104" s="514">
        <v>0</v>
      </c>
      <c r="E104" s="514">
        <v>0</v>
      </c>
      <c r="F104" s="514">
        <v>0</v>
      </c>
      <c r="G104" s="514">
        <v>0</v>
      </c>
      <c r="H104" s="514">
        <v>0</v>
      </c>
      <c r="I104" s="514">
        <v>0</v>
      </c>
      <c r="J104" s="514">
        <v>0</v>
      </c>
      <c r="K104" s="514">
        <v>0</v>
      </c>
      <c r="L104" s="514">
        <v>0</v>
      </c>
      <c r="M104" s="514">
        <v>0</v>
      </c>
      <c r="N104" s="514">
        <v>0</v>
      </c>
      <c r="O104" s="499"/>
      <c r="P104" s="499"/>
      <c r="Q104" s="499"/>
    </row>
    <row r="105" spans="1:17" ht="14.4" x14ac:dyDescent="0.3">
      <c r="A105" s="502">
        <v>1310012</v>
      </c>
      <c r="B105" s="503" t="s">
        <v>1915</v>
      </c>
      <c r="C105" s="514">
        <v>0</v>
      </c>
      <c r="D105" s="514">
        <v>0</v>
      </c>
      <c r="E105" s="514">
        <v>0</v>
      </c>
      <c r="F105" s="514">
        <v>0</v>
      </c>
      <c r="G105" s="514">
        <v>0</v>
      </c>
      <c r="H105" s="514">
        <v>0</v>
      </c>
      <c r="I105" s="514">
        <v>0</v>
      </c>
      <c r="J105" s="514">
        <v>0</v>
      </c>
      <c r="K105" s="514">
        <v>0</v>
      </c>
      <c r="L105" s="514">
        <v>0</v>
      </c>
      <c r="M105" s="514">
        <v>0</v>
      </c>
      <c r="N105" s="514">
        <v>0</v>
      </c>
      <c r="O105" s="499"/>
      <c r="P105" s="499"/>
      <c r="Q105" s="499"/>
    </row>
    <row r="106" spans="1:17" ht="14.4" x14ac:dyDescent="0.3">
      <c r="A106" s="502">
        <v>1310013</v>
      </c>
      <c r="B106" s="503" t="s">
        <v>1916</v>
      </c>
      <c r="C106" s="514">
        <v>0</v>
      </c>
      <c r="D106" s="514">
        <v>0</v>
      </c>
      <c r="E106" s="514">
        <v>0</v>
      </c>
      <c r="F106" s="514">
        <v>0</v>
      </c>
      <c r="G106" s="514">
        <v>0</v>
      </c>
      <c r="H106" s="514">
        <v>0</v>
      </c>
      <c r="I106" s="514">
        <v>0</v>
      </c>
      <c r="J106" s="514">
        <v>0</v>
      </c>
      <c r="K106" s="514">
        <v>0</v>
      </c>
      <c r="L106" s="514">
        <v>0</v>
      </c>
      <c r="M106" s="514">
        <v>0</v>
      </c>
      <c r="N106" s="514">
        <v>0</v>
      </c>
      <c r="O106" s="499"/>
      <c r="P106" s="499"/>
      <c r="Q106" s="499"/>
    </row>
    <row r="107" spans="1:17" ht="14.4" x14ac:dyDescent="0.3">
      <c r="A107" s="502">
        <v>1310014</v>
      </c>
      <c r="B107" s="503" t="s">
        <v>1917</v>
      </c>
      <c r="C107" s="514">
        <v>0</v>
      </c>
      <c r="D107" s="514">
        <v>0</v>
      </c>
      <c r="E107" s="514">
        <v>0</v>
      </c>
      <c r="F107" s="514">
        <v>0</v>
      </c>
      <c r="G107" s="514">
        <v>0</v>
      </c>
      <c r="H107" s="514">
        <v>0</v>
      </c>
      <c r="I107" s="514">
        <v>0</v>
      </c>
      <c r="J107" s="514">
        <v>0</v>
      </c>
      <c r="K107" s="514">
        <v>0</v>
      </c>
      <c r="L107" s="514">
        <v>0</v>
      </c>
      <c r="M107" s="514">
        <v>0</v>
      </c>
      <c r="N107" s="514">
        <v>0</v>
      </c>
      <c r="O107" s="499"/>
      <c r="P107" s="499"/>
      <c r="Q107" s="499"/>
    </row>
    <row r="108" spans="1:17" ht="14.4" x14ac:dyDescent="0.3">
      <c r="A108" s="502">
        <v>1310015</v>
      </c>
      <c r="B108" s="503" t="s">
        <v>1918</v>
      </c>
      <c r="C108" s="514">
        <v>0</v>
      </c>
      <c r="D108" s="514">
        <v>0</v>
      </c>
      <c r="E108" s="514">
        <v>0</v>
      </c>
      <c r="F108" s="514">
        <v>0</v>
      </c>
      <c r="G108" s="514">
        <v>0</v>
      </c>
      <c r="H108" s="514">
        <v>0</v>
      </c>
      <c r="I108" s="514">
        <v>0</v>
      </c>
      <c r="J108" s="514">
        <v>0</v>
      </c>
      <c r="K108" s="514">
        <v>0</v>
      </c>
      <c r="L108" s="514">
        <v>0</v>
      </c>
      <c r="M108" s="514">
        <v>0</v>
      </c>
      <c r="N108" s="514">
        <v>0</v>
      </c>
      <c r="O108" s="499"/>
      <c r="P108" s="499"/>
      <c r="Q108" s="499"/>
    </row>
    <row r="109" spans="1:17" ht="14.4" x14ac:dyDescent="0.3">
      <c r="A109" s="502">
        <v>1310016</v>
      </c>
      <c r="B109" s="503" t="s">
        <v>1919</v>
      </c>
      <c r="C109" s="514">
        <v>0</v>
      </c>
      <c r="D109" s="514">
        <v>0</v>
      </c>
      <c r="E109" s="514">
        <v>0</v>
      </c>
      <c r="F109" s="514">
        <v>0</v>
      </c>
      <c r="G109" s="514">
        <v>0</v>
      </c>
      <c r="H109" s="514">
        <v>0</v>
      </c>
      <c r="I109" s="514">
        <v>0</v>
      </c>
      <c r="J109" s="514">
        <v>0</v>
      </c>
      <c r="K109" s="514">
        <v>0</v>
      </c>
      <c r="L109" s="514">
        <v>0</v>
      </c>
      <c r="M109" s="514">
        <v>0</v>
      </c>
      <c r="N109" s="514">
        <v>0</v>
      </c>
      <c r="O109" s="499"/>
      <c r="P109" s="499"/>
      <c r="Q109" s="499"/>
    </row>
    <row r="110" spans="1:17" ht="14.4" x14ac:dyDescent="0.3">
      <c r="A110" s="502">
        <v>1310017</v>
      </c>
      <c r="B110" s="503" t="s">
        <v>1920</v>
      </c>
      <c r="C110" s="514">
        <v>0</v>
      </c>
      <c r="D110" s="514">
        <v>0</v>
      </c>
      <c r="E110" s="514">
        <v>0</v>
      </c>
      <c r="F110" s="514">
        <v>0</v>
      </c>
      <c r="G110" s="514">
        <v>0</v>
      </c>
      <c r="H110" s="514">
        <v>0</v>
      </c>
      <c r="I110" s="514">
        <v>0</v>
      </c>
      <c r="J110" s="514">
        <v>0</v>
      </c>
      <c r="K110" s="514">
        <v>0</v>
      </c>
      <c r="L110" s="514">
        <v>0</v>
      </c>
      <c r="M110" s="514">
        <v>0</v>
      </c>
      <c r="N110" s="514">
        <v>0</v>
      </c>
      <c r="O110" s="499"/>
      <c r="P110" s="499"/>
      <c r="Q110" s="499"/>
    </row>
    <row r="111" spans="1:17" ht="14.4" x14ac:dyDescent="0.3">
      <c r="A111" s="502">
        <v>1310018</v>
      </c>
      <c r="B111" s="503" t="s">
        <v>1921</v>
      </c>
      <c r="C111" s="514">
        <v>0</v>
      </c>
      <c r="D111" s="514">
        <v>0</v>
      </c>
      <c r="E111" s="514">
        <v>0</v>
      </c>
      <c r="F111" s="514">
        <v>0</v>
      </c>
      <c r="G111" s="514">
        <v>0</v>
      </c>
      <c r="H111" s="514">
        <v>0</v>
      </c>
      <c r="I111" s="514">
        <v>0</v>
      </c>
      <c r="J111" s="514">
        <v>0</v>
      </c>
      <c r="K111" s="514">
        <v>0</v>
      </c>
      <c r="L111" s="514">
        <v>0</v>
      </c>
      <c r="M111" s="514">
        <v>0</v>
      </c>
      <c r="N111" s="514">
        <v>0</v>
      </c>
      <c r="O111" s="499"/>
      <c r="P111" s="499"/>
      <c r="Q111" s="499"/>
    </row>
    <row r="112" spans="1:17" ht="14.4" x14ac:dyDescent="0.3">
      <c r="A112" s="502">
        <v>1310020</v>
      </c>
      <c r="B112" s="503" t="s">
        <v>1922</v>
      </c>
      <c r="C112" s="514">
        <v>0</v>
      </c>
      <c r="D112" s="514">
        <v>0</v>
      </c>
      <c r="E112" s="514">
        <v>0</v>
      </c>
      <c r="F112" s="514">
        <v>0</v>
      </c>
      <c r="G112" s="514">
        <v>0</v>
      </c>
      <c r="H112" s="514">
        <v>0</v>
      </c>
      <c r="I112" s="514">
        <v>0</v>
      </c>
      <c r="J112" s="514">
        <v>0</v>
      </c>
      <c r="K112" s="514">
        <v>0</v>
      </c>
      <c r="L112" s="514">
        <v>0</v>
      </c>
      <c r="M112" s="514">
        <v>0</v>
      </c>
      <c r="N112" s="514">
        <v>0</v>
      </c>
      <c r="O112" s="499"/>
      <c r="P112" s="499"/>
      <c r="Q112" s="499"/>
    </row>
    <row r="113" spans="1:17" ht="14.4" x14ac:dyDescent="0.3">
      <c r="A113" s="502">
        <v>1310021</v>
      </c>
      <c r="B113" s="503" t="s">
        <v>1923</v>
      </c>
      <c r="C113" s="514">
        <v>0</v>
      </c>
      <c r="D113" s="514">
        <v>0</v>
      </c>
      <c r="E113" s="514">
        <v>0</v>
      </c>
      <c r="F113" s="514">
        <v>0</v>
      </c>
      <c r="G113" s="514">
        <v>0</v>
      </c>
      <c r="H113" s="514">
        <v>0</v>
      </c>
      <c r="I113" s="514">
        <v>0</v>
      </c>
      <c r="J113" s="514">
        <v>0</v>
      </c>
      <c r="K113" s="514">
        <v>0</v>
      </c>
      <c r="L113" s="514">
        <v>0</v>
      </c>
      <c r="M113" s="514">
        <v>0</v>
      </c>
      <c r="N113" s="514">
        <v>0</v>
      </c>
      <c r="O113" s="499"/>
      <c r="P113" s="499"/>
      <c r="Q113" s="499"/>
    </row>
    <row r="114" spans="1:17" ht="14.4" x14ac:dyDescent="0.3">
      <c r="A114" s="502">
        <v>1310022</v>
      </c>
      <c r="B114" s="503" t="s">
        <v>1924</v>
      </c>
      <c r="C114" s="514">
        <v>0</v>
      </c>
      <c r="D114" s="514">
        <v>0</v>
      </c>
      <c r="E114" s="514">
        <v>0</v>
      </c>
      <c r="F114" s="514">
        <v>0</v>
      </c>
      <c r="G114" s="514">
        <v>0</v>
      </c>
      <c r="H114" s="514">
        <v>0</v>
      </c>
      <c r="I114" s="514">
        <v>0</v>
      </c>
      <c r="J114" s="514">
        <v>0</v>
      </c>
      <c r="K114" s="514">
        <v>0</v>
      </c>
      <c r="L114" s="514">
        <v>0</v>
      </c>
      <c r="M114" s="514">
        <v>0</v>
      </c>
      <c r="N114" s="514">
        <v>0</v>
      </c>
      <c r="O114" s="499"/>
      <c r="P114" s="499"/>
      <c r="Q114" s="499"/>
    </row>
    <row r="115" spans="1:17" ht="14.4" x14ac:dyDescent="0.3">
      <c r="A115" s="502">
        <v>1310023</v>
      </c>
      <c r="B115" s="503" t="s">
        <v>1925</v>
      </c>
      <c r="C115" s="514">
        <v>0</v>
      </c>
      <c r="D115" s="514">
        <v>0</v>
      </c>
      <c r="E115" s="514">
        <v>0</v>
      </c>
      <c r="F115" s="514">
        <v>0</v>
      </c>
      <c r="G115" s="514">
        <v>0</v>
      </c>
      <c r="H115" s="514">
        <v>0</v>
      </c>
      <c r="I115" s="514">
        <v>0</v>
      </c>
      <c r="J115" s="514">
        <v>0</v>
      </c>
      <c r="K115" s="514">
        <v>0</v>
      </c>
      <c r="L115" s="514">
        <v>0</v>
      </c>
      <c r="M115" s="514">
        <v>0</v>
      </c>
      <c r="N115" s="514">
        <v>0</v>
      </c>
      <c r="O115" s="499"/>
      <c r="P115" s="499"/>
      <c r="Q115" s="499"/>
    </row>
    <row r="116" spans="1:17" ht="14.4" x14ac:dyDescent="0.3">
      <c r="A116" s="502">
        <v>1310024</v>
      </c>
      <c r="B116" s="503" t="s">
        <v>1926</v>
      </c>
      <c r="C116" s="514">
        <v>0</v>
      </c>
      <c r="D116" s="514">
        <v>0</v>
      </c>
      <c r="E116" s="514">
        <v>0</v>
      </c>
      <c r="F116" s="514">
        <v>0</v>
      </c>
      <c r="G116" s="514">
        <v>0</v>
      </c>
      <c r="H116" s="514">
        <v>0</v>
      </c>
      <c r="I116" s="514">
        <v>0</v>
      </c>
      <c r="J116" s="514">
        <v>0</v>
      </c>
      <c r="K116" s="514">
        <v>0</v>
      </c>
      <c r="L116" s="514">
        <v>0</v>
      </c>
      <c r="M116" s="514">
        <v>0</v>
      </c>
      <c r="N116" s="514">
        <v>0</v>
      </c>
      <c r="O116" s="499"/>
      <c r="P116" s="499"/>
      <c r="Q116" s="499"/>
    </row>
    <row r="117" spans="1:17" ht="14.4" x14ac:dyDescent="0.3">
      <c r="A117" s="502">
        <v>1310025</v>
      </c>
      <c r="B117" s="503" t="s">
        <v>1927</v>
      </c>
      <c r="C117" s="514">
        <v>0</v>
      </c>
      <c r="D117" s="514">
        <v>0</v>
      </c>
      <c r="E117" s="514">
        <v>0</v>
      </c>
      <c r="F117" s="514">
        <v>0</v>
      </c>
      <c r="G117" s="514">
        <v>0</v>
      </c>
      <c r="H117" s="514">
        <v>0</v>
      </c>
      <c r="I117" s="514">
        <v>0</v>
      </c>
      <c r="J117" s="514">
        <v>0</v>
      </c>
      <c r="K117" s="514">
        <v>0</v>
      </c>
      <c r="L117" s="514">
        <v>0</v>
      </c>
      <c r="M117" s="514">
        <v>0</v>
      </c>
      <c r="N117" s="514">
        <v>0</v>
      </c>
      <c r="O117" s="499"/>
      <c r="P117" s="499"/>
      <c r="Q117" s="499"/>
    </row>
    <row r="118" spans="1:17" ht="14.4" x14ac:dyDescent="0.3">
      <c r="A118" s="502">
        <v>1310026</v>
      </c>
      <c r="B118" s="503" t="s">
        <v>1928</v>
      </c>
      <c r="C118" s="514">
        <v>0</v>
      </c>
      <c r="D118" s="514">
        <v>0</v>
      </c>
      <c r="E118" s="514">
        <v>0</v>
      </c>
      <c r="F118" s="514">
        <v>0</v>
      </c>
      <c r="G118" s="514">
        <v>0</v>
      </c>
      <c r="H118" s="514">
        <v>0</v>
      </c>
      <c r="I118" s="514">
        <v>0</v>
      </c>
      <c r="J118" s="514">
        <v>0</v>
      </c>
      <c r="K118" s="514">
        <v>0</v>
      </c>
      <c r="L118" s="514">
        <v>0</v>
      </c>
      <c r="M118" s="514">
        <v>0</v>
      </c>
      <c r="N118" s="514">
        <v>0</v>
      </c>
      <c r="O118" s="499"/>
      <c r="P118" s="499"/>
      <c r="Q118" s="499"/>
    </row>
    <row r="119" spans="1:17" ht="14.4" x14ac:dyDescent="0.3">
      <c r="A119" s="502">
        <v>1310027</v>
      </c>
      <c r="B119" s="503" t="s">
        <v>1929</v>
      </c>
      <c r="C119" s="514">
        <v>0</v>
      </c>
      <c r="D119" s="514">
        <v>0</v>
      </c>
      <c r="E119" s="514">
        <v>0</v>
      </c>
      <c r="F119" s="514">
        <v>0</v>
      </c>
      <c r="G119" s="514">
        <v>0</v>
      </c>
      <c r="H119" s="514">
        <v>0</v>
      </c>
      <c r="I119" s="514">
        <v>0</v>
      </c>
      <c r="J119" s="514">
        <v>0</v>
      </c>
      <c r="K119" s="514">
        <v>0</v>
      </c>
      <c r="L119" s="514">
        <v>0</v>
      </c>
      <c r="M119" s="514">
        <v>0</v>
      </c>
      <c r="N119" s="514">
        <v>0</v>
      </c>
      <c r="O119" s="499"/>
      <c r="P119" s="499"/>
      <c r="Q119" s="499"/>
    </row>
    <row r="120" spans="1:17" ht="14.4" x14ac:dyDescent="0.3">
      <c r="A120" s="502">
        <v>1310028</v>
      </c>
      <c r="B120" s="503" t="s">
        <v>1930</v>
      </c>
      <c r="C120" s="514">
        <v>0</v>
      </c>
      <c r="D120" s="514">
        <v>0</v>
      </c>
      <c r="E120" s="514">
        <v>0</v>
      </c>
      <c r="F120" s="514">
        <v>0</v>
      </c>
      <c r="G120" s="514">
        <v>0</v>
      </c>
      <c r="H120" s="514">
        <v>0</v>
      </c>
      <c r="I120" s="514">
        <v>0</v>
      </c>
      <c r="J120" s="514">
        <v>0</v>
      </c>
      <c r="K120" s="514">
        <v>0</v>
      </c>
      <c r="L120" s="514">
        <v>0</v>
      </c>
      <c r="M120" s="514">
        <v>0</v>
      </c>
      <c r="N120" s="514">
        <v>0</v>
      </c>
      <c r="O120" s="499"/>
      <c r="P120" s="499"/>
      <c r="Q120" s="499"/>
    </row>
    <row r="121" spans="1:17" ht="14.4" x14ac:dyDescent="0.3">
      <c r="A121" s="502">
        <v>1310030</v>
      </c>
      <c r="B121" s="503" t="s">
        <v>1931</v>
      </c>
      <c r="C121" s="514">
        <v>0</v>
      </c>
      <c r="D121" s="514">
        <v>0</v>
      </c>
      <c r="E121" s="514">
        <v>0</v>
      </c>
      <c r="F121" s="514">
        <v>0</v>
      </c>
      <c r="G121" s="514">
        <v>0</v>
      </c>
      <c r="H121" s="514">
        <v>0</v>
      </c>
      <c r="I121" s="514">
        <v>0</v>
      </c>
      <c r="J121" s="514">
        <v>0</v>
      </c>
      <c r="K121" s="514">
        <v>0</v>
      </c>
      <c r="L121" s="514">
        <v>0</v>
      </c>
      <c r="M121" s="514">
        <v>0</v>
      </c>
      <c r="N121" s="514">
        <v>0</v>
      </c>
      <c r="O121" s="499"/>
      <c r="P121" s="499"/>
      <c r="Q121" s="499"/>
    </row>
    <row r="122" spans="1:17" ht="14.4" x14ac:dyDescent="0.3">
      <c r="A122" s="502">
        <v>1310031</v>
      </c>
      <c r="B122" s="503" t="s">
        <v>1932</v>
      </c>
      <c r="C122" s="514">
        <v>0</v>
      </c>
      <c r="D122" s="514">
        <v>0</v>
      </c>
      <c r="E122" s="514">
        <v>0</v>
      </c>
      <c r="F122" s="514">
        <v>0</v>
      </c>
      <c r="G122" s="514">
        <v>0</v>
      </c>
      <c r="H122" s="514">
        <v>0</v>
      </c>
      <c r="I122" s="514">
        <v>0</v>
      </c>
      <c r="J122" s="514">
        <v>0</v>
      </c>
      <c r="K122" s="514">
        <v>0</v>
      </c>
      <c r="L122" s="514">
        <v>0</v>
      </c>
      <c r="M122" s="514">
        <v>0</v>
      </c>
      <c r="N122" s="514">
        <v>0</v>
      </c>
      <c r="O122" s="499"/>
      <c r="P122" s="499"/>
      <c r="Q122" s="499"/>
    </row>
    <row r="123" spans="1:17" ht="14.4" x14ac:dyDescent="0.3">
      <c r="A123" s="502">
        <v>1310032</v>
      </c>
      <c r="B123" s="503" t="s">
        <v>1933</v>
      </c>
      <c r="C123" s="514">
        <v>0</v>
      </c>
      <c r="D123" s="514">
        <v>0</v>
      </c>
      <c r="E123" s="514">
        <v>0</v>
      </c>
      <c r="F123" s="514">
        <v>0</v>
      </c>
      <c r="G123" s="514">
        <v>0</v>
      </c>
      <c r="H123" s="514">
        <v>0</v>
      </c>
      <c r="I123" s="514">
        <v>0</v>
      </c>
      <c r="J123" s="514">
        <v>0</v>
      </c>
      <c r="K123" s="514">
        <v>0</v>
      </c>
      <c r="L123" s="514">
        <v>0</v>
      </c>
      <c r="M123" s="514">
        <v>0</v>
      </c>
      <c r="N123" s="514">
        <v>0</v>
      </c>
      <c r="O123" s="499"/>
      <c r="P123" s="499"/>
      <c r="Q123" s="499"/>
    </row>
    <row r="124" spans="1:17" ht="14.4" x14ac:dyDescent="0.3">
      <c r="A124" s="502">
        <v>1310033</v>
      </c>
      <c r="B124" s="503" t="s">
        <v>1934</v>
      </c>
      <c r="C124" s="514">
        <v>0</v>
      </c>
      <c r="D124" s="514">
        <v>0</v>
      </c>
      <c r="E124" s="514">
        <v>0</v>
      </c>
      <c r="F124" s="514">
        <v>0</v>
      </c>
      <c r="G124" s="514">
        <v>0</v>
      </c>
      <c r="H124" s="514">
        <v>0</v>
      </c>
      <c r="I124" s="514">
        <v>0</v>
      </c>
      <c r="J124" s="514">
        <v>0</v>
      </c>
      <c r="K124" s="514">
        <v>0</v>
      </c>
      <c r="L124" s="514">
        <v>0</v>
      </c>
      <c r="M124" s="514">
        <v>0</v>
      </c>
      <c r="N124" s="514">
        <v>0</v>
      </c>
      <c r="O124" s="499"/>
      <c r="P124" s="499"/>
      <c r="Q124" s="499"/>
    </row>
    <row r="125" spans="1:17" ht="14.4" x14ac:dyDescent="0.3">
      <c r="A125" s="502">
        <v>1310034</v>
      </c>
      <c r="B125" s="503" t="s">
        <v>1935</v>
      </c>
      <c r="C125" s="514">
        <v>0</v>
      </c>
      <c r="D125" s="514">
        <v>0</v>
      </c>
      <c r="E125" s="514">
        <v>0</v>
      </c>
      <c r="F125" s="514">
        <v>0</v>
      </c>
      <c r="G125" s="514">
        <v>0</v>
      </c>
      <c r="H125" s="514">
        <v>0</v>
      </c>
      <c r="I125" s="514">
        <v>0</v>
      </c>
      <c r="J125" s="514">
        <v>0</v>
      </c>
      <c r="K125" s="514">
        <v>0</v>
      </c>
      <c r="L125" s="514">
        <v>0</v>
      </c>
      <c r="M125" s="514">
        <v>0</v>
      </c>
      <c r="N125" s="514">
        <v>0</v>
      </c>
      <c r="O125" s="499"/>
      <c r="P125" s="499"/>
      <c r="Q125" s="499"/>
    </row>
    <row r="126" spans="1:17" ht="14.4" x14ac:dyDescent="0.3">
      <c r="A126" s="502">
        <v>1310035</v>
      </c>
      <c r="B126" s="503" t="s">
        <v>1936</v>
      </c>
      <c r="C126" s="514">
        <v>0</v>
      </c>
      <c r="D126" s="514">
        <v>0</v>
      </c>
      <c r="E126" s="514">
        <v>0</v>
      </c>
      <c r="F126" s="514">
        <v>0</v>
      </c>
      <c r="G126" s="514">
        <v>0</v>
      </c>
      <c r="H126" s="514">
        <v>0</v>
      </c>
      <c r="I126" s="514">
        <v>0</v>
      </c>
      <c r="J126" s="514">
        <v>0</v>
      </c>
      <c r="K126" s="514">
        <v>0</v>
      </c>
      <c r="L126" s="514">
        <v>0</v>
      </c>
      <c r="M126" s="514">
        <v>0</v>
      </c>
      <c r="N126" s="514">
        <v>0</v>
      </c>
      <c r="O126" s="499"/>
      <c r="P126" s="499"/>
      <c r="Q126" s="499"/>
    </row>
    <row r="127" spans="1:17" ht="14.4" x14ac:dyDescent="0.3">
      <c r="A127" s="502">
        <v>1310036</v>
      </c>
      <c r="B127" s="503" t="s">
        <v>1937</v>
      </c>
      <c r="C127" s="514">
        <v>0</v>
      </c>
      <c r="D127" s="514">
        <v>0</v>
      </c>
      <c r="E127" s="514">
        <v>0</v>
      </c>
      <c r="F127" s="514">
        <v>0</v>
      </c>
      <c r="G127" s="514">
        <v>0</v>
      </c>
      <c r="H127" s="514">
        <v>0</v>
      </c>
      <c r="I127" s="514">
        <v>0</v>
      </c>
      <c r="J127" s="514">
        <v>0</v>
      </c>
      <c r="K127" s="514">
        <v>0</v>
      </c>
      <c r="L127" s="514">
        <v>0</v>
      </c>
      <c r="M127" s="514">
        <v>0</v>
      </c>
      <c r="N127" s="514">
        <v>0</v>
      </c>
      <c r="O127" s="499"/>
      <c r="P127" s="499"/>
      <c r="Q127" s="499"/>
    </row>
    <row r="128" spans="1:17" ht="14.4" x14ac:dyDescent="0.3">
      <c r="A128" s="502">
        <v>1310037</v>
      </c>
      <c r="B128" s="503" t="s">
        <v>1938</v>
      </c>
      <c r="C128" s="514">
        <v>0</v>
      </c>
      <c r="D128" s="514">
        <v>0</v>
      </c>
      <c r="E128" s="514">
        <v>0</v>
      </c>
      <c r="F128" s="514">
        <v>0</v>
      </c>
      <c r="G128" s="514">
        <v>0</v>
      </c>
      <c r="H128" s="514">
        <v>0</v>
      </c>
      <c r="I128" s="514">
        <v>0</v>
      </c>
      <c r="J128" s="514">
        <v>0</v>
      </c>
      <c r="K128" s="514">
        <v>0</v>
      </c>
      <c r="L128" s="514">
        <v>0</v>
      </c>
      <c r="M128" s="514">
        <v>0</v>
      </c>
      <c r="N128" s="514">
        <v>0</v>
      </c>
      <c r="O128" s="499"/>
      <c r="P128" s="499"/>
      <c r="Q128" s="499"/>
    </row>
    <row r="129" spans="1:17" ht="14.4" x14ac:dyDescent="0.3">
      <c r="A129" s="502">
        <v>1310038</v>
      </c>
      <c r="B129" s="503" t="s">
        <v>1939</v>
      </c>
      <c r="C129" s="514">
        <v>0</v>
      </c>
      <c r="D129" s="514">
        <v>0</v>
      </c>
      <c r="E129" s="514">
        <v>0</v>
      </c>
      <c r="F129" s="514">
        <v>0</v>
      </c>
      <c r="G129" s="514">
        <v>0</v>
      </c>
      <c r="H129" s="514">
        <v>0</v>
      </c>
      <c r="I129" s="514">
        <v>0</v>
      </c>
      <c r="J129" s="514">
        <v>0</v>
      </c>
      <c r="K129" s="514">
        <v>0</v>
      </c>
      <c r="L129" s="514">
        <v>0</v>
      </c>
      <c r="M129" s="514">
        <v>0</v>
      </c>
      <c r="N129" s="514">
        <v>0</v>
      </c>
      <c r="O129" s="499"/>
      <c r="P129" s="499"/>
      <c r="Q129" s="499"/>
    </row>
    <row r="130" spans="1:17" ht="14.4" x14ac:dyDescent="0.3">
      <c r="A130" s="502">
        <v>1310040</v>
      </c>
      <c r="B130" s="503" t="s">
        <v>1940</v>
      </c>
      <c r="C130" s="514">
        <v>0</v>
      </c>
      <c r="D130" s="514">
        <v>0</v>
      </c>
      <c r="E130" s="514">
        <v>0</v>
      </c>
      <c r="F130" s="514">
        <v>0</v>
      </c>
      <c r="G130" s="514">
        <v>0</v>
      </c>
      <c r="H130" s="514">
        <v>0</v>
      </c>
      <c r="I130" s="514">
        <v>0</v>
      </c>
      <c r="J130" s="514">
        <v>0</v>
      </c>
      <c r="K130" s="514">
        <v>0</v>
      </c>
      <c r="L130" s="514">
        <v>0</v>
      </c>
      <c r="M130" s="514">
        <v>0</v>
      </c>
      <c r="N130" s="514">
        <v>0</v>
      </c>
      <c r="O130" s="499"/>
      <c r="P130" s="499"/>
      <c r="Q130" s="499"/>
    </row>
    <row r="131" spans="1:17" ht="14.4" x14ac:dyDescent="0.3">
      <c r="A131" s="502">
        <v>1310050</v>
      </c>
      <c r="B131" s="503" t="s">
        <v>1941</v>
      </c>
      <c r="C131" s="514">
        <v>0</v>
      </c>
      <c r="D131" s="514">
        <v>0</v>
      </c>
      <c r="E131" s="514">
        <v>0</v>
      </c>
      <c r="F131" s="514">
        <v>0</v>
      </c>
      <c r="G131" s="514">
        <v>0</v>
      </c>
      <c r="H131" s="514">
        <v>0</v>
      </c>
      <c r="I131" s="514">
        <v>0</v>
      </c>
      <c r="J131" s="514">
        <v>0</v>
      </c>
      <c r="K131" s="514">
        <v>0</v>
      </c>
      <c r="L131" s="514">
        <v>0</v>
      </c>
      <c r="M131" s="514">
        <v>0</v>
      </c>
      <c r="N131" s="514">
        <v>0</v>
      </c>
      <c r="O131" s="499"/>
      <c r="P131" s="499"/>
      <c r="Q131" s="499"/>
    </row>
    <row r="132" spans="1:17" ht="14.4" x14ac:dyDescent="0.3">
      <c r="A132" s="502">
        <v>1310070</v>
      </c>
      <c r="B132" s="503" t="s">
        <v>1942</v>
      </c>
      <c r="C132" s="514">
        <v>0</v>
      </c>
      <c r="D132" s="514">
        <v>0</v>
      </c>
      <c r="E132" s="514">
        <v>0</v>
      </c>
      <c r="F132" s="514">
        <v>0</v>
      </c>
      <c r="G132" s="514">
        <v>0</v>
      </c>
      <c r="H132" s="514">
        <v>0</v>
      </c>
      <c r="I132" s="514">
        <v>0</v>
      </c>
      <c r="J132" s="514">
        <v>0</v>
      </c>
      <c r="K132" s="514">
        <v>0</v>
      </c>
      <c r="L132" s="514">
        <v>0</v>
      </c>
      <c r="M132" s="514">
        <v>0</v>
      </c>
      <c r="N132" s="514">
        <v>0</v>
      </c>
      <c r="O132" s="499"/>
      <c r="P132" s="499"/>
      <c r="Q132" s="499"/>
    </row>
    <row r="133" spans="1:17" ht="14.4" x14ac:dyDescent="0.3">
      <c r="A133" s="502">
        <v>1310071</v>
      </c>
      <c r="B133" s="503" t="s">
        <v>1943</v>
      </c>
      <c r="C133" s="514">
        <v>0</v>
      </c>
      <c r="D133" s="514">
        <v>0</v>
      </c>
      <c r="E133" s="514">
        <v>0</v>
      </c>
      <c r="F133" s="514">
        <v>0</v>
      </c>
      <c r="G133" s="514">
        <v>0</v>
      </c>
      <c r="H133" s="514">
        <v>0</v>
      </c>
      <c r="I133" s="514">
        <v>0</v>
      </c>
      <c r="J133" s="514">
        <v>0</v>
      </c>
      <c r="K133" s="514">
        <v>0</v>
      </c>
      <c r="L133" s="514">
        <v>0</v>
      </c>
      <c r="M133" s="514">
        <v>0</v>
      </c>
      <c r="N133" s="514">
        <v>0</v>
      </c>
      <c r="O133" s="499"/>
      <c r="P133" s="499"/>
      <c r="Q133" s="499"/>
    </row>
    <row r="134" spans="1:17" ht="14.4" x14ac:dyDescent="0.3">
      <c r="A134" s="502">
        <v>1310072</v>
      </c>
      <c r="B134" s="503" t="s">
        <v>1944</v>
      </c>
      <c r="C134" s="514">
        <v>0</v>
      </c>
      <c r="D134" s="514">
        <v>0</v>
      </c>
      <c r="E134" s="514">
        <v>0</v>
      </c>
      <c r="F134" s="514">
        <v>0</v>
      </c>
      <c r="G134" s="514">
        <v>0</v>
      </c>
      <c r="H134" s="514">
        <v>0</v>
      </c>
      <c r="I134" s="514">
        <v>0</v>
      </c>
      <c r="J134" s="514">
        <v>0</v>
      </c>
      <c r="K134" s="514">
        <v>0</v>
      </c>
      <c r="L134" s="514">
        <v>0</v>
      </c>
      <c r="M134" s="514">
        <v>0</v>
      </c>
      <c r="N134" s="514">
        <v>0</v>
      </c>
      <c r="O134" s="499"/>
      <c r="P134" s="499"/>
      <c r="Q134" s="499"/>
    </row>
    <row r="135" spans="1:17" ht="14.4" x14ac:dyDescent="0.3">
      <c r="A135" s="502">
        <v>1310073</v>
      </c>
      <c r="B135" s="503" t="s">
        <v>1945</v>
      </c>
      <c r="C135" s="514">
        <v>0</v>
      </c>
      <c r="D135" s="514">
        <v>0</v>
      </c>
      <c r="E135" s="514">
        <v>0</v>
      </c>
      <c r="F135" s="514">
        <v>0</v>
      </c>
      <c r="G135" s="514">
        <v>0</v>
      </c>
      <c r="H135" s="514">
        <v>0</v>
      </c>
      <c r="I135" s="514">
        <v>0</v>
      </c>
      <c r="J135" s="514">
        <v>0</v>
      </c>
      <c r="K135" s="514">
        <v>0</v>
      </c>
      <c r="L135" s="514">
        <v>0</v>
      </c>
      <c r="M135" s="514">
        <v>0</v>
      </c>
      <c r="N135" s="514">
        <v>0</v>
      </c>
      <c r="O135" s="499"/>
      <c r="P135" s="499"/>
      <c r="Q135" s="499"/>
    </row>
    <row r="136" spans="1:17" ht="14.4" x14ac:dyDescent="0.3">
      <c r="A136" s="502">
        <v>1310074</v>
      </c>
      <c r="B136" s="503" t="s">
        <v>1946</v>
      </c>
      <c r="C136" s="514">
        <v>0</v>
      </c>
      <c r="D136" s="514">
        <v>0</v>
      </c>
      <c r="E136" s="514">
        <v>0</v>
      </c>
      <c r="F136" s="514">
        <v>0</v>
      </c>
      <c r="G136" s="514">
        <v>0</v>
      </c>
      <c r="H136" s="514">
        <v>0</v>
      </c>
      <c r="I136" s="514">
        <v>0</v>
      </c>
      <c r="J136" s="514">
        <v>0</v>
      </c>
      <c r="K136" s="514">
        <v>0</v>
      </c>
      <c r="L136" s="514">
        <v>0</v>
      </c>
      <c r="M136" s="514">
        <v>0</v>
      </c>
      <c r="N136" s="514">
        <v>0</v>
      </c>
      <c r="O136" s="499"/>
      <c r="P136" s="499"/>
      <c r="Q136" s="499"/>
    </row>
    <row r="137" spans="1:17" ht="14.4" x14ac:dyDescent="0.3">
      <c r="A137" s="502">
        <v>1310075</v>
      </c>
      <c r="B137" s="503" t="s">
        <v>1947</v>
      </c>
      <c r="C137" s="514">
        <v>0</v>
      </c>
      <c r="D137" s="514">
        <v>0</v>
      </c>
      <c r="E137" s="514">
        <v>0</v>
      </c>
      <c r="F137" s="514">
        <v>0</v>
      </c>
      <c r="G137" s="514">
        <v>0</v>
      </c>
      <c r="H137" s="514">
        <v>0</v>
      </c>
      <c r="I137" s="514">
        <v>0</v>
      </c>
      <c r="J137" s="514">
        <v>0</v>
      </c>
      <c r="K137" s="514">
        <v>0</v>
      </c>
      <c r="L137" s="514">
        <v>0</v>
      </c>
      <c r="M137" s="514">
        <v>0</v>
      </c>
      <c r="N137" s="514">
        <v>0</v>
      </c>
      <c r="O137" s="499"/>
      <c r="P137" s="499"/>
      <c r="Q137" s="499"/>
    </row>
    <row r="138" spans="1:17" ht="14.4" x14ac:dyDescent="0.3">
      <c r="A138" s="502">
        <v>1310076</v>
      </c>
      <c r="B138" s="503" t="s">
        <v>1948</v>
      </c>
      <c r="C138" s="514">
        <v>0</v>
      </c>
      <c r="D138" s="514">
        <v>0</v>
      </c>
      <c r="E138" s="514">
        <v>0</v>
      </c>
      <c r="F138" s="514">
        <v>0</v>
      </c>
      <c r="G138" s="514">
        <v>0</v>
      </c>
      <c r="H138" s="514">
        <v>0</v>
      </c>
      <c r="I138" s="514">
        <v>0</v>
      </c>
      <c r="J138" s="514">
        <v>0</v>
      </c>
      <c r="K138" s="514">
        <v>0</v>
      </c>
      <c r="L138" s="514">
        <v>0</v>
      </c>
      <c r="M138" s="514">
        <v>0</v>
      </c>
      <c r="N138" s="514">
        <v>0</v>
      </c>
      <c r="O138" s="499"/>
      <c r="P138" s="499"/>
      <c r="Q138" s="499"/>
    </row>
    <row r="139" spans="1:17" ht="14.4" x14ac:dyDescent="0.3">
      <c r="A139" s="502">
        <v>1310077</v>
      </c>
      <c r="B139" s="503" t="s">
        <v>1949</v>
      </c>
      <c r="C139" s="514">
        <v>0</v>
      </c>
      <c r="D139" s="514">
        <v>0</v>
      </c>
      <c r="E139" s="514">
        <v>0</v>
      </c>
      <c r="F139" s="514">
        <v>0</v>
      </c>
      <c r="G139" s="514">
        <v>0</v>
      </c>
      <c r="H139" s="514">
        <v>0</v>
      </c>
      <c r="I139" s="514">
        <v>0</v>
      </c>
      <c r="J139" s="514">
        <v>0</v>
      </c>
      <c r="K139" s="514">
        <v>0</v>
      </c>
      <c r="L139" s="514">
        <v>0</v>
      </c>
      <c r="M139" s="514">
        <v>0</v>
      </c>
      <c r="N139" s="514">
        <v>0</v>
      </c>
      <c r="O139" s="499"/>
      <c r="P139" s="499"/>
      <c r="Q139" s="499"/>
    </row>
    <row r="140" spans="1:17" ht="14.4" x14ac:dyDescent="0.3">
      <c r="A140" s="502">
        <v>1310078</v>
      </c>
      <c r="B140" s="503" t="s">
        <v>1950</v>
      </c>
      <c r="C140" s="514">
        <v>0</v>
      </c>
      <c r="D140" s="514">
        <v>0</v>
      </c>
      <c r="E140" s="514">
        <v>0</v>
      </c>
      <c r="F140" s="514">
        <v>0</v>
      </c>
      <c r="G140" s="514">
        <v>0</v>
      </c>
      <c r="H140" s="514">
        <v>0</v>
      </c>
      <c r="I140" s="514">
        <v>0</v>
      </c>
      <c r="J140" s="514">
        <v>0</v>
      </c>
      <c r="K140" s="514">
        <v>0</v>
      </c>
      <c r="L140" s="514">
        <v>0</v>
      </c>
      <c r="M140" s="514">
        <v>0</v>
      </c>
      <c r="N140" s="514">
        <v>0</v>
      </c>
      <c r="O140" s="499"/>
      <c r="P140" s="499"/>
      <c r="Q140" s="499"/>
    </row>
    <row r="141" spans="1:17" ht="14.4" x14ac:dyDescent="0.3">
      <c r="A141" s="502">
        <v>1310080</v>
      </c>
      <c r="B141" s="503" t="s">
        <v>1951</v>
      </c>
      <c r="C141" s="514">
        <v>0</v>
      </c>
      <c r="D141" s="514">
        <v>0</v>
      </c>
      <c r="E141" s="514">
        <v>0</v>
      </c>
      <c r="F141" s="514">
        <v>0</v>
      </c>
      <c r="G141" s="514">
        <v>0</v>
      </c>
      <c r="H141" s="514">
        <v>0</v>
      </c>
      <c r="I141" s="514">
        <v>0</v>
      </c>
      <c r="J141" s="514">
        <v>0</v>
      </c>
      <c r="K141" s="514">
        <v>0</v>
      </c>
      <c r="L141" s="514">
        <v>0</v>
      </c>
      <c r="M141" s="514">
        <v>0</v>
      </c>
      <c r="N141" s="514">
        <v>0</v>
      </c>
      <c r="O141" s="499"/>
      <c r="P141" s="499"/>
      <c r="Q141" s="499"/>
    </row>
    <row r="142" spans="1:17" ht="14.4" x14ac:dyDescent="0.3">
      <c r="A142" s="502">
        <v>1310081</v>
      </c>
      <c r="B142" s="503" t="s">
        <v>1952</v>
      </c>
      <c r="C142" s="514">
        <v>0</v>
      </c>
      <c r="D142" s="514">
        <v>0</v>
      </c>
      <c r="E142" s="514">
        <v>0</v>
      </c>
      <c r="F142" s="514">
        <v>0</v>
      </c>
      <c r="G142" s="514">
        <v>0</v>
      </c>
      <c r="H142" s="514">
        <v>0</v>
      </c>
      <c r="I142" s="514">
        <v>0</v>
      </c>
      <c r="J142" s="514">
        <v>0</v>
      </c>
      <c r="K142" s="514">
        <v>0</v>
      </c>
      <c r="L142" s="514">
        <v>0</v>
      </c>
      <c r="M142" s="514">
        <v>0</v>
      </c>
      <c r="N142" s="514">
        <v>0</v>
      </c>
      <c r="O142" s="499"/>
      <c r="P142" s="499"/>
      <c r="Q142" s="499"/>
    </row>
    <row r="143" spans="1:17" ht="14.4" x14ac:dyDescent="0.3">
      <c r="A143" s="502">
        <v>1310082</v>
      </c>
      <c r="B143" s="503" t="s">
        <v>1953</v>
      </c>
      <c r="C143" s="514">
        <v>0</v>
      </c>
      <c r="D143" s="514">
        <v>0</v>
      </c>
      <c r="E143" s="514">
        <v>0</v>
      </c>
      <c r="F143" s="514">
        <v>0</v>
      </c>
      <c r="G143" s="514">
        <v>0</v>
      </c>
      <c r="H143" s="514">
        <v>0</v>
      </c>
      <c r="I143" s="514">
        <v>0</v>
      </c>
      <c r="J143" s="514">
        <v>0</v>
      </c>
      <c r="K143" s="514">
        <v>0</v>
      </c>
      <c r="L143" s="514">
        <v>0</v>
      </c>
      <c r="M143" s="514">
        <v>0</v>
      </c>
      <c r="N143" s="514">
        <v>0</v>
      </c>
      <c r="O143" s="499"/>
      <c r="P143" s="499"/>
      <c r="Q143" s="499"/>
    </row>
    <row r="144" spans="1:17" ht="14.4" x14ac:dyDescent="0.3">
      <c r="A144" s="502">
        <v>1310083</v>
      </c>
      <c r="B144" s="503" t="s">
        <v>1954</v>
      </c>
      <c r="C144" s="514">
        <v>0</v>
      </c>
      <c r="D144" s="514">
        <v>0</v>
      </c>
      <c r="E144" s="514">
        <v>0</v>
      </c>
      <c r="F144" s="514">
        <v>0</v>
      </c>
      <c r="G144" s="514">
        <v>0</v>
      </c>
      <c r="H144" s="514">
        <v>0</v>
      </c>
      <c r="I144" s="514">
        <v>0</v>
      </c>
      <c r="J144" s="514">
        <v>0</v>
      </c>
      <c r="K144" s="514">
        <v>0</v>
      </c>
      <c r="L144" s="514">
        <v>0</v>
      </c>
      <c r="M144" s="514">
        <v>0</v>
      </c>
      <c r="N144" s="514">
        <v>0</v>
      </c>
      <c r="O144" s="499"/>
      <c r="P144" s="499"/>
      <c r="Q144" s="499"/>
    </row>
    <row r="145" spans="1:17" ht="14.4" x14ac:dyDescent="0.3">
      <c r="A145" s="502">
        <v>1310084</v>
      </c>
      <c r="B145" s="503" t="s">
        <v>1955</v>
      </c>
      <c r="C145" s="514">
        <v>0</v>
      </c>
      <c r="D145" s="514">
        <v>0</v>
      </c>
      <c r="E145" s="514">
        <v>0</v>
      </c>
      <c r="F145" s="514">
        <v>0</v>
      </c>
      <c r="G145" s="514">
        <v>0</v>
      </c>
      <c r="H145" s="514">
        <v>0</v>
      </c>
      <c r="I145" s="514">
        <v>0</v>
      </c>
      <c r="J145" s="514">
        <v>0</v>
      </c>
      <c r="K145" s="514">
        <v>0</v>
      </c>
      <c r="L145" s="514">
        <v>0</v>
      </c>
      <c r="M145" s="514">
        <v>0</v>
      </c>
      <c r="N145" s="514">
        <v>0</v>
      </c>
      <c r="O145" s="499"/>
      <c r="P145" s="499"/>
      <c r="Q145" s="499"/>
    </row>
    <row r="146" spans="1:17" ht="14.4" x14ac:dyDescent="0.3">
      <c r="A146" s="502">
        <v>1310085</v>
      </c>
      <c r="B146" s="503" t="s">
        <v>1956</v>
      </c>
      <c r="C146" s="514">
        <v>0</v>
      </c>
      <c r="D146" s="514">
        <v>0</v>
      </c>
      <c r="E146" s="514">
        <v>0</v>
      </c>
      <c r="F146" s="514">
        <v>0</v>
      </c>
      <c r="G146" s="514">
        <v>0</v>
      </c>
      <c r="H146" s="514">
        <v>0</v>
      </c>
      <c r="I146" s="514">
        <v>0</v>
      </c>
      <c r="J146" s="514">
        <v>0</v>
      </c>
      <c r="K146" s="514">
        <v>0</v>
      </c>
      <c r="L146" s="514">
        <v>0</v>
      </c>
      <c r="M146" s="514">
        <v>0</v>
      </c>
      <c r="N146" s="514">
        <v>0</v>
      </c>
      <c r="O146" s="499"/>
      <c r="P146" s="499"/>
      <c r="Q146" s="499"/>
    </row>
    <row r="147" spans="1:17" ht="14.4" x14ac:dyDescent="0.3">
      <c r="A147" s="502">
        <v>1310086</v>
      </c>
      <c r="B147" s="503" t="s">
        <v>1957</v>
      </c>
      <c r="C147" s="514">
        <v>0</v>
      </c>
      <c r="D147" s="514">
        <v>0</v>
      </c>
      <c r="E147" s="514">
        <v>0</v>
      </c>
      <c r="F147" s="514">
        <v>0</v>
      </c>
      <c r="G147" s="514">
        <v>0</v>
      </c>
      <c r="H147" s="514">
        <v>0</v>
      </c>
      <c r="I147" s="514">
        <v>0</v>
      </c>
      <c r="J147" s="514">
        <v>0</v>
      </c>
      <c r="K147" s="514">
        <v>0</v>
      </c>
      <c r="L147" s="514">
        <v>0</v>
      </c>
      <c r="M147" s="514">
        <v>0</v>
      </c>
      <c r="N147" s="514">
        <v>0</v>
      </c>
      <c r="O147" s="499"/>
      <c r="P147" s="499"/>
      <c r="Q147" s="499"/>
    </row>
    <row r="148" spans="1:17" ht="14.4" x14ac:dyDescent="0.3">
      <c r="A148" s="502">
        <v>1310087</v>
      </c>
      <c r="B148" s="503" t="s">
        <v>1958</v>
      </c>
      <c r="C148" s="514">
        <v>0</v>
      </c>
      <c r="D148" s="514">
        <v>0</v>
      </c>
      <c r="E148" s="514">
        <v>0</v>
      </c>
      <c r="F148" s="514">
        <v>0</v>
      </c>
      <c r="G148" s="514">
        <v>0</v>
      </c>
      <c r="H148" s="514">
        <v>0</v>
      </c>
      <c r="I148" s="514">
        <v>0</v>
      </c>
      <c r="J148" s="514">
        <v>0</v>
      </c>
      <c r="K148" s="514">
        <v>0</v>
      </c>
      <c r="L148" s="514">
        <v>0</v>
      </c>
      <c r="M148" s="514">
        <v>0</v>
      </c>
      <c r="N148" s="514">
        <v>0</v>
      </c>
      <c r="O148" s="499"/>
      <c r="P148" s="499"/>
      <c r="Q148" s="499"/>
    </row>
    <row r="149" spans="1:17" ht="14.4" x14ac:dyDescent="0.3">
      <c r="A149" s="502">
        <v>1310088</v>
      </c>
      <c r="B149" s="503" t="s">
        <v>1959</v>
      </c>
      <c r="C149" s="514">
        <v>0</v>
      </c>
      <c r="D149" s="514">
        <v>0</v>
      </c>
      <c r="E149" s="514">
        <v>0</v>
      </c>
      <c r="F149" s="514">
        <v>0</v>
      </c>
      <c r="G149" s="514">
        <v>0</v>
      </c>
      <c r="H149" s="514">
        <v>0</v>
      </c>
      <c r="I149" s="514">
        <v>0</v>
      </c>
      <c r="J149" s="514">
        <v>0</v>
      </c>
      <c r="K149" s="514">
        <v>0</v>
      </c>
      <c r="L149" s="514">
        <v>0</v>
      </c>
      <c r="M149" s="514">
        <v>0</v>
      </c>
      <c r="N149" s="514">
        <v>0</v>
      </c>
      <c r="O149" s="499"/>
      <c r="P149" s="499"/>
      <c r="Q149" s="499"/>
    </row>
    <row r="150" spans="1:17" ht="14.4" x14ac:dyDescent="0.3">
      <c r="A150" s="502">
        <v>1310090</v>
      </c>
      <c r="B150" s="503" t="s">
        <v>1960</v>
      </c>
      <c r="C150" s="514">
        <v>0</v>
      </c>
      <c r="D150" s="514">
        <v>0</v>
      </c>
      <c r="E150" s="514">
        <v>0</v>
      </c>
      <c r="F150" s="514">
        <v>0</v>
      </c>
      <c r="G150" s="514">
        <v>0</v>
      </c>
      <c r="H150" s="514">
        <v>0</v>
      </c>
      <c r="I150" s="514">
        <v>0</v>
      </c>
      <c r="J150" s="514">
        <v>0</v>
      </c>
      <c r="K150" s="514">
        <v>0</v>
      </c>
      <c r="L150" s="514">
        <v>0</v>
      </c>
      <c r="M150" s="514">
        <v>0</v>
      </c>
      <c r="N150" s="514">
        <v>0</v>
      </c>
      <c r="O150" s="499"/>
      <c r="P150" s="499"/>
      <c r="Q150" s="499"/>
    </row>
    <row r="151" spans="1:17" ht="14.4" x14ac:dyDescent="0.3">
      <c r="A151" s="502">
        <v>1310091</v>
      </c>
      <c r="B151" s="503" t="s">
        <v>1961</v>
      </c>
      <c r="C151" s="514">
        <v>0</v>
      </c>
      <c r="D151" s="514">
        <v>0</v>
      </c>
      <c r="E151" s="514">
        <v>0</v>
      </c>
      <c r="F151" s="514">
        <v>0</v>
      </c>
      <c r="G151" s="514">
        <v>0</v>
      </c>
      <c r="H151" s="514">
        <v>0</v>
      </c>
      <c r="I151" s="514">
        <v>0</v>
      </c>
      <c r="J151" s="514">
        <v>0</v>
      </c>
      <c r="K151" s="514">
        <v>0</v>
      </c>
      <c r="L151" s="514">
        <v>0</v>
      </c>
      <c r="M151" s="514">
        <v>0</v>
      </c>
      <c r="N151" s="514">
        <v>0</v>
      </c>
      <c r="O151" s="499"/>
      <c r="P151" s="499"/>
      <c r="Q151" s="499"/>
    </row>
    <row r="152" spans="1:17" ht="14.4" x14ac:dyDescent="0.3">
      <c r="A152" s="502">
        <v>1310092</v>
      </c>
      <c r="B152" s="503" t="s">
        <v>1962</v>
      </c>
      <c r="C152" s="514">
        <v>0</v>
      </c>
      <c r="D152" s="514">
        <v>0</v>
      </c>
      <c r="E152" s="514">
        <v>0</v>
      </c>
      <c r="F152" s="514">
        <v>0</v>
      </c>
      <c r="G152" s="514">
        <v>0</v>
      </c>
      <c r="H152" s="514">
        <v>0</v>
      </c>
      <c r="I152" s="514">
        <v>0</v>
      </c>
      <c r="J152" s="514">
        <v>0</v>
      </c>
      <c r="K152" s="514">
        <v>0</v>
      </c>
      <c r="L152" s="514">
        <v>0</v>
      </c>
      <c r="M152" s="514">
        <v>0</v>
      </c>
      <c r="N152" s="514">
        <v>0</v>
      </c>
      <c r="O152" s="499"/>
      <c r="P152" s="499"/>
      <c r="Q152" s="499"/>
    </row>
    <row r="153" spans="1:17" ht="14.4" x14ac:dyDescent="0.3">
      <c r="A153" s="502">
        <v>1310093</v>
      </c>
      <c r="B153" s="503" t="s">
        <v>1963</v>
      </c>
      <c r="C153" s="514">
        <v>0</v>
      </c>
      <c r="D153" s="514">
        <v>0</v>
      </c>
      <c r="E153" s="514">
        <v>0</v>
      </c>
      <c r="F153" s="514">
        <v>0</v>
      </c>
      <c r="G153" s="514">
        <v>0</v>
      </c>
      <c r="H153" s="514">
        <v>0</v>
      </c>
      <c r="I153" s="514">
        <v>0</v>
      </c>
      <c r="J153" s="514">
        <v>0</v>
      </c>
      <c r="K153" s="514">
        <v>0</v>
      </c>
      <c r="L153" s="514">
        <v>0</v>
      </c>
      <c r="M153" s="514">
        <v>0</v>
      </c>
      <c r="N153" s="514">
        <v>0</v>
      </c>
      <c r="O153" s="499"/>
      <c r="P153" s="499"/>
      <c r="Q153" s="499"/>
    </row>
    <row r="154" spans="1:17" ht="14.4" x14ac:dyDescent="0.3">
      <c r="A154" s="502">
        <v>1310094</v>
      </c>
      <c r="B154" s="503" t="s">
        <v>1964</v>
      </c>
      <c r="C154" s="514">
        <v>0</v>
      </c>
      <c r="D154" s="514">
        <v>0</v>
      </c>
      <c r="E154" s="514">
        <v>0</v>
      </c>
      <c r="F154" s="514">
        <v>0</v>
      </c>
      <c r="G154" s="514">
        <v>0</v>
      </c>
      <c r="H154" s="514">
        <v>0</v>
      </c>
      <c r="I154" s="514">
        <v>0</v>
      </c>
      <c r="J154" s="514">
        <v>0</v>
      </c>
      <c r="K154" s="514">
        <v>0</v>
      </c>
      <c r="L154" s="514">
        <v>0</v>
      </c>
      <c r="M154" s="514">
        <v>0</v>
      </c>
      <c r="N154" s="514">
        <v>0</v>
      </c>
      <c r="O154" s="499"/>
      <c r="P154" s="499"/>
      <c r="Q154" s="499"/>
    </row>
    <row r="155" spans="1:17" ht="14.4" x14ac:dyDescent="0.3">
      <c r="A155" s="502">
        <v>1310095</v>
      </c>
      <c r="B155" s="503" t="s">
        <v>1965</v>
      </c>
      <c r="C155" s="514">
        <v>0</v>
      </c>
      <c r="D155" s="514">
        <v>0</v>
      </c>
      <c r="E155" s="514">
        <v>0</v>
      </c>
      <c r="F155" s="514">
        <v>0</v>
      </c>
      <c r="G155" s="514">
        <v>0</v>
      </c>
      <c r="H155" s="514">
        <v>0</v>
      </c>
      <c r="I155" s="514">
        <v>0</v>
      </c>
      <c r="J155" s="514">
        <v>0</v>
      </c>
      <c r="K155" s="514">
        <v>0</v>
      </c>
      <c r="L155" s="514">
        <v>0</v>
      </c>
      <c r="M155" s="514">
        <v>0</v>
      </c>
      <c r="N155" s="514">
        <v>0</v>
      </c>
      <c r="O155" s="499"/>
      <c r="P155" s="499"/>
      <c r="Q155" s="499"/>
    </row>
    <row r="156" spans="1:17" ht="14.4" x14ac:dyDescent="0.3">
      <c r="A156" s="502">
        <v>1310096</v>
      </c>
      <c r="B156" s="503" t="s">
        <v>1966</v>
      </c>
      <c r="C156" s="514">
        <v>0</v>
      </c>
      <c r="D156" s="514">
        <v>0</v>
      </c>
      <c r="E156" s="514">
        <v>0</v>
      </c>
      <c r="F156" s="514">
        <v>0</v>
      </c>
      <c r="G156" s="514">
        <v>0</v>
      </c>
      <c r="H156" s="514">
        <v>0</v>
      </c>
      <c r="I156" s="514">
        <v>0</v>
      </c>
      <c r="J156" s="514">
        <v>0</v>
      </c>
      <c r="K156" s="514">
        <v>0</v>
      </c>
      <c r="L156" s="514">
        <v>0</v>
      </c>
      <c r="M156" s="514">
        <v>0</v>
      </c>
      <c r="N156" s="514">
        <v>0</v>
      </c>
      <c r="O156" s="499"/>
      <c r="P156" s="499"/>
      <c r="Q156" s="499"/>
    </row>
    <row r="157" spans="1:17" ht="14.4" x14ac:dyDescent="0.3">
      <c r="A157" s="502">
        <v>1310097</v>
      </c>
      <c r="B157" s="503" t="s">
        <v>1967</v>
      </c>
      <c r="C157" s="514">
        <v>0</v>
      </c>
      <c r="D157" s="514">
        <v>0</v>
      </c>
      <c r="E157" s="514">
        <v>0</v>
      </c>
      <c r="F157" s="514">
        <v>0</v>
      </c>
      <c r="G157" s="514">
        <v>0</v>
      </c>
      <c r="H157" s="514">
        <v>0</v>
      </c>
      <c r="I157" s="514">
        <v>0</v>
      </c>
      <c r="J157" s="514">
        <v>0</v>
      </c>
      <c r="K157" s="514">
        <v>0</v>
      </c>
      <c r="L157" s="514">
        <v>0</v>
      </c>
      <c r="M157" s="514">
        <v>0</v>
      </c>
      <c r="N157" s="514">
        <v>0</v>
      </c>
      <c r="O157" s="499"/>
      <c r="P157" s="499"/>
      <c r="Q157" s="499"/>
    </row>
    <row r="158" spans="1:17" ht="14.4" x14ac:dyDescent="0.3">
      <c r="A158" s="502">
        <v>1310098</v>
      </c>
      <c r="B158" s="503" t="s">
        <v>1968</v>
      </c>
      <c r="C158" s="514">
        <v>0</v>
      </c>
      <c r="D158" s="514">
        <v>0</v>
      </c>
      <c r="E158" s="514">
        <v>0</v>
      </c>
      <c r="F158" s="514">
        <v>0</v>
      </c>
      <c r="G158" s="514">
        <v>0</v>
      </c>
      <c r="H158" s="514">
        <v>0</v>
      </c>
      <c r="I158" s="514">
        <v>0</v>
      </c>
      <c r="J158" s="514">
        <v>0</v>
      </c>
      <c r="K158" s="514">
        <v>0</v>
      </c>
      <c r="L158" s="514">
        <v>0</v>
      </c>
      <c r="M158" s="514">
        <v>0</v>
      </c>
      <c r="N158" s="514">
        <v>0</v>
      </c>
      <c r="O158" s="499"/>
      <c r="P158" s="499"/>
      <c r="Q158" s="499"/>
    </row>
    <row r="159" spans="1:17" ht="14.4" x14ac:dyDescent="0.3">
      <c r="A159" s="502">
        <v>1310100</v>
      </c>
      <c r="B159" s="503" t="s">
        <v>1969</v>
      </c>
      <c r="C159" s="514">
        <v>0</v>
      </c>
      <c r="D159" s="514">
        <v>0</v>
      </c>
      <c r="E159" s="514">
        <v>0</v>
      </c>
      <c r="F159" s="514">
        <v>0</v>
      </c>
      <c r="G159" s="514">
        <v>0</v>
      </c>
      <c r="H159" s="514">
        <v>0</v>
      </c>
      <c r="I159" s="514">
        <v>0</v>
      </c>
      <c r="J159" s="514">
        <v>0</v>
      </c>
      <c r="K159" s="514">
        <v>0</v>
      </c>
      <c r="L159" s="514">
        <v>0</v>
      </c>
      <c r="M159" s="514">
        <v>0</v>
      </c>
      <c r="N159" s="514">
        <v>0</v>
      </c>
      <c r="O159" s="499"/>
      <c r="P159" s="499"/>
      <c r="Q159" s="499"/>
    </row>
    <row r="160" spans="1:17" ht="14.4" x14ac:dyDescent="0.3">
      <c r="A160" s="502">
        <v>1310101</v>
      </c>
      <c r="B160" s="503" t="s">
        <v>1970</v>
      </c>
      <c r="C160" s="514">
        <v>0</v>
      </c>
      <c r="D160" s="514">
        <v>0</v>
      </c>
      <c r="E160" s="514">
        <v>0</v>
      </c>
      <c r="F160" s="514">
        <v>0</v>
      </c>
      <c r="G160" s="514">
        <v>0</v>
      </c>
      <c r="H160" s="514">
        <v>0</v>
      </c>
      <c r="I160" s="514">
        <v>0</v>
      </c>
      <c r="J160" s="514">
        <v>0</v>
      </c>
      <c r="K160" s="514">
        <v>0</v>
      </c>
      <c r="L160" s="514">
        <v>0</v>
      </c>
      <c r="M160" s="514">
        <v>0</v>
      </c>
      <c r="N160" s="514">
        <v>0</v>
      </c>
      <c r="O160" s="499"/>
      <c r="P160" s="499"/>
      <c r="Q160" s="499"/>
    </row>
    <row r="161" spans="1:17" ht="14.4" x14ac:dyDescent="0.3">
      <c r="A161" s="502">
        <v>1310102</v>
      </c>
      <c r="B161" s="503" t="s">
        <v>1971</v>
      </c>
      <c r="C161" s="514">
        <v>0</v>
      </c>
      <c r="D161" s="514">
        <v>0</v>
      </c>
      <c r="E161" s="514">
        <v>0</v>
      </c>
      <c r="F161" s="514">
        <v>0</v>
      </c>
      <c r="G161" s="514">
        <v>0</v>
      </c>
      <c r="H161" s="514">
        <v>0</v>
      </c>
      <c r="I161" s="514">
        <v>0</v>
      </c>
      <c r="J161" s="514">
        <v>0</v>
      </c>
      <c r="K161" s="514">
        <v>0</v>
      </c>
      <c r="L161" s="514">
        <v>0</v>
      </c>
      <c r="M161" s="514">
        <v>0</v>
      </c>
      <c r="N161" s="514">
        <v>0</v>
      </c>
      <c r="O161" s="499"/>
      <c r="P161" s="499"/>
      <c r="Q161" s="499"/>
    </row>
    <row r="162" spans="1:17" ht="14.4" x14ac:dyDescent="0.3">
      <c r="A162" s="502">
        <v>1310103</v>
      </c>
      <c r="B162" s="503" t="s">
        <v>1972</v>
      </c>
      <c r="C162" s="514">
        <v>0</v>
      </c>
      <c r="D162" s="514">
        <v>0</v>
      </c>
      <c r="E162" s="514">
        <v>0</v>
      </c>
      <c r="F162" s="514">
        <v>0</v>
      </c>
      <c r="G162" s="514">
        <v>0</v>
      </c>
      <c r="H162" s="514">
        <v>0</v>
      </c>
      <c r="I162" s="514">
        <v>0</v>
      </c>
      <c r="J162" s="514">
        <v>0</v>
      </c>
      <c r="K162" s="514">
        <v>0</v>
      </c>
      <c r="L162" s="514">
        <v>0</v>
      </c>
      <c r="M162" s="514">
        <v>0</v>
      </c>
      <c r="N162" s="514">
        <v>0</v>
      </c>
      <c r="O162" s="499"/>
      <c r="P162" s="499"/>
      <c r="Q162" s="499"/>
    </row>
    <row r="163" spans="1:17" ht="14.4" x14ac:dyDescent="0.3">
      <c r="A163" s="502">
        <v>1310104</v>
      </c>
      <c r="B163" s="503" t="s">
        <v>1973</v>
      </c>
      <c r="C163" s="514">
        <v>0</v>
      </c>
      <c r="D163" s="514">
        <v>0</v>
      </c>
      <c r="E163" s="514">
        <v>0</v>
      </c>
      <c r="F163" s="514">
        <v>0</v>
      </c>
      <c r="G163" s="514">
        <v>0</v>
      </c>
      <c r="H163" s="514">
        <v>0</v>
      </c>
      <c r="I163" s="514">
        <v>0</v>
      </c>
      <c r="J163" s="514">
        <v>0</v>
      </c>
      <c r="K163" s="514">
        <v>0</v>
      </c>
      <c r="L163" s="514">
        <v>0</v>
      </c>
      <c r="M163" s="514">
        <v>0</v>
      </c>
      <c r="N163" s="514">
        <v>0</v>
      </c>
      <c r="O163" s="499"/>
      <c r="P163" s="499"/>
      <c r="Q163" s="499"/>
    </row>
    <row r="164" spans="1:17" ht="14.4" x14ac:dyDescent="0.3">
      <c r="A164" s="502">
        <v>1310105</v>
      </c>
      <c r="B164" s="503" t="s">
        <v>1974</v>
      </c>
      <c r="C164" s="514">
        <v>0</v>
      </c>
      <c r="D164" s="514">
        <v>0</v>
      </c>
      <c r="E164" s="514">
        <v>0</v>
      </c>
      <c r="F164" s="514">
        <v>0</v>
      </c>
      <c r="G164" s="514">
        <v>0</v>
      </c>
      <c r="H164" s="514">
        <v>0</v>
      </c>
      <c r="I164" s="514">
        <v>0</v>
      </c>
      <c r="J164" s="514">
        <v>0</v>
      </c>
      <c r="K164" s="514">
        <v>0</v>
      </c>
      <c r="L164" s="514">
        <v>0</v>
      </c>
      <c r="M164" s="514">
        <v>0</v>
      </c>
      <c r="N164" s="514">
        <v>0</v>
      </c>
      <c r="O164" s="499"/>
      <c r="P164" s="499"/>
      <c r="Q164" s="499"/>
    </row>
    <row r="165" spans="1:17" ht="14.4" x14ac:dyDescent="0.3">
      <c r="A165" s="502">
        <v>1310106</v>
      </c>
      <c r="B165" s="503" t="s">
        <v>1975</v>
      </c>
      <c r="C165" s="514">
        <v>0</v>
      </c>
      <c r="D165" s="514">
        <v>0</v>
      </c>
      <c r="E165" s="514">
        <v>0</v>
      </c>
      <c r="F165" s="514">
        <v>0</v>
      </c>
      <c r="G165" s="514">
        <v>0</v>
      </c>
      <c r="H165" s="514">
        <v>0</v>
      </c>
      <c r="I165" s="514">
        <v>0</v>
      </c>
      <c r="J165" s="514">
        <v>0</v>
      </c>
      <c r="K165" s="514">
        <v>0</v>
      </c>
      <c r="L165" s="514">
        <v>0</v>
      </c>
      <c r="M165" s="514">
        <v>0</v>
      </c>
      <c r="N165" s="514">
        <v>0</v>
      </c>
      <c r="O165" s="499"/>
      <c r="P165" s="499"/>
      <c r="Q165" s="499"/>
    </row>
    <row r="166" spans="1:17" ht="14.4" x14ac:dyDescent="0.3">
      <c r="A166" s="502">
        <v>1310107</v>
      </c>
      <c r="B166" s="503" t="s">
        <v>1976</v>
      </c>
      <c r="C166" s="514">
        <v>0</v>
      </c>
      <c r="D166" s="514">
        <v>0</v>
      </c>
      <c r="E166" s="514">
        <v>0</v>
      </c>
      <c r="F166" s="514">
        <v>0</v>
      </c>
      <c r="G166" s="514">
        <v>0</v>
      </c>
      <c r="H166" s="514">
        <v>0</v>
      </c>
      <c r="I166" s="514">
        <v>0</v>
      </c>
      <c r="J166" s="514">
        <v>0</v>
      </c>
      <c r="K166" s="514">
        <v>0</v>
      </c>
      <c r="L166" s="514">
        <v>0</v>
      </c>
      <c r="M166" s="514">
        <v>0</v>
      </c>
      <c r="N166" s="514">
        <v>0</v>
      </c>
      <c r="O166" s="499"/>
      <c r="P166" s="499"/>
      <c r="Q166" s="499"/>
    </row>
    <row r="167" spans="1:17" ht="14.4" x14ac:dyDescent="0.3">
      <c r="A167" s="502">
        <v>1310108</v>
      </c>
      <c r="B167" s="503" t="s">
        <v>1977</v>
      </c>
      <c r="C167" s="514">
        <v>0</v>
      </c>
      <c r="D167" s="514">
        <v>0</v>
      </c>
      <c r="E167" s="514">
        <v>0</v>
      </c>
      <c r="F167" s="514">
        <v>0</v>
      </c>
      <c r="G167" s="514">
        <v>0</v>
      </c>
      <c r="H167" s="514">
        <v>0</v>
      </c>
      <c r="I167" s="514">
        <v>0</v>
      </c>
      <c r="J167" s="514">
        <v>0</v>
      </c>
      <c r="K167" s="514">
        <v>0</v>
      </c>
      <c r="L167" s="514">
        <v>0</v>
      </c>
      <c r="M167" s="514">
        <v>0</v>
      </c>
      <c r="N167" s="514">
        <v>0</v>
      </c>
      <c r="O167" s="499"/>
      <c r="P167" s="499"/>
      <c r="Q167" s="499"/>
    </row>
    <row r="168" spans="1:17" ht="14.4" x14ac:dyDescent="0.3">
      <c r="A168" s="502">
        <v>1310110</v>
      </c>
      <c r="B168" s="503" t="s">
        <v>1978</v>
      </c>
      <c r="C168" s="514">
        <v>0</v>
      </c>
      <c r="D168" s="514">
        <v>0</v>
      </c>
      <c r="E168" s="514">
        <v>0</v>
      </c>
      <c r="F168" s="514">
        <v>0</v>
      </c>
      <c r="G168" s="514">
        <v>0</v>
      </c>
      <c r="H168" s="514">
        <v>0</v>
      </c>
      <c r="I168" s="514">
        <v>0</v>
      </c>
      <c r="J168" s="514">
        <v>0</v>
      </c>
      <c r="K168" s="514">
        <v>0</v>
      </c>
      <c r="L168" s="514">
        <v>0</v>
      </c>
      <c r="M168" s="514">
        <v>0</v>
      </c>
      <c r="N168" s="514">
        <v>0</v>
      </c>
      <c r="O168" s="499"/>
      <c r="P168" s="499"/>
      <c r="Q168" s="499"/>
    </row>
    <row r="169" spans="1:17" ht="14.4" x14ac:dyDescent="0.3">
      <c r="A169" s="502">
        <v>1310111</v>
      </c>
      <c r="B169" s="503" t="s">
        <v>1979</v>
      </c>
      <c r="C169" s="514">
        <v>0</v>
      </c>
      <c r="D169" s="514">
        <v>0</v>
      </c>
      <c r="E169" s="514">
        <v>0</v>
      </c>
      <c r="F169" s="514">
        <v>0</v>
      </c>
      <c r="G169" s="514">
        <v>0</v>
      </c>
      <c r="H169" s="514">
        <v>0</v>
      </c>
      <c r="I169" s="514">
        <v>0</v>
      </c>
      <c r="J169" s="514">
        <v>0</v>
      </c>
      <c r="K169" s="514">
        <v>0</v>
      </c>
      <c r="L169" s="514">
        <v>0</v>
      </c>
      <c r="M169" s="514">
        <v>0</v>
      </c>
      <c r="N169" s="514">
        <v>0</v>
      </c>
      <c r="O169" s="499"/>
      <c r="P169" s="499"/>
      <c r="Q169" s="499"/>
    </row>
    <row r="170" spans="1:17" ht="14.4" x14ac:dyDescent="0.3">
      <c r="A170" s="502">
        <v>1310112</v>
      </c>
      <c r="B170" s="503" t="s">
        <v>1980</v>
      </c>
      <c r="C170" s="514">
        <v>0</v>
      </c>
      <c r="D170" s="514">
        <v>0</v>
      </c>
      <c r="E170" s="514">
        <v>0</v>
      </c>
      <c r="F170" s="514">
        <v>0</v>
      </c>
      <c r="G170" s="514">
        <v>0</v>
      </c>
      <c r="H170" s="514">
        <v>0</v>
      </c>
      <c r="I170" s="514">
        <v>0</v>
      </c>
      <c r="J170" s="514">
        <v>0</v>
      </c>
      <c r="K170" s="514">
        <v>0</v>
      </c>
      <c r="L170" s="514">
        <v>0</v>
      </c>
      <c r="M170" s="514">
        <v>0</v>
      </c>
      <c r="N170" s="514">
        <v>0</v>
      </c>
      <c r="O170" s="499"/>
      <c r="P170" s="499"/>
      <c r="Q170" s="499"/>
    </row>
    <row r="171" spans="1:17" ht="14.4" x14ac:dyDescent="0.3">
      <c r="A171" s="502">
        <v>1310113</v>
      </c>
      <c r="B171" s="503" t="s">
        <v>1981</v>
      </c>
      <c r="C171" s="514">
        <v>0</v>
      </c>
      <c r="D171" s="514">
        <v>0</v>
      </c>
      <c r="E171" s="514">
        <v>0</v>
      </c>
      <c r="F171" s="514">
        <v>0</v>
      </c>
      <c r="G171" s="514">
        <v>0</v>
      </c>
      <c r="H171" s="514">
        <v>0</v>
      </c>
      <c r="I171" s="514">
        <v>0</v>
      </c>
      <c r="J171" s="514">
        <v>0</v>
      </c>
      <c r="K171" s="514">
        <v>0</v>
      </c>
      <c r="L171" s="514">
        <v>0</v>
      </c>
      <c r="M171" s="514">
        <v>0</v>
      </c>
      <c r="N171" s="514">
        <v>0</v>
      </c>
      <c r="O171" s="499"/>
      <c r="P171" s="499"/>
      <c r="Q171" s="499"/>
    </row>
    <row r="172" spans="1:17" ht="14.4" x14ac:dyDescent="0.3">
      <c r="A172" s="502">
        <v>1310114</v>
      </c>
      <c r="B172" s="503" t="s">
        <v>1982</v>
      </c>
      <c r="C172" s="514">
        <v>0</v>
      </c>
      <c r="D172" s="514">
        <v>0</v>
      </c>
      <c r="E172" s="514">
        <v>0</v>
      </c>
      <c r="F172" s="514">
        <v>0</v>
      </c>
      <c r="G172" s="514">
        <v>0</v>
      </c>
      <c r="H172" s="514">
        <v>0</v>
      </c>
      <c r="I172" s="514">
        <v>0</v>
      </c>
      <c r="J172" s="514">
        <v>0</v>
      </c>
      <c r="K172" s="514">
        <v>0</v>
      </c>
      <c r="L172" s="514">
        <v>0</v>
      </c>
      <c r="M172" s="514">
        <v>0</v>
      </c>
      <c r="N172" s="514">
        <v>0</v>
      </c>
      <c r="O172" s="499"/>
      <c r="P172" s="499"/>
      <c r="Q172" s="499"/>
    </row>
    <row r="173" spans="1:17" ht="14.4" x14ac:dyDescent="0.3">
      <c r="A173" s="502">
        <v>1310116</v>
      </c>
      <c r="B173" s="503" t="s">
        <v>1983</v>
      </c>
      <c r="C173" s="514">
        <v>0</v>
      </c>
      <c r="D173" s="514">
        <v>0</v>
      </c>
      <c r="E173" s="514">
        <v>0</v>
      </c>
      <c r="F173" s="514">
        <v>0</v>
      </c>
      <c r="G173" s="514">
        <v>0</v>
      </c>
      <c r="H173" s="514">
        <v>0</v>
      </c>
      <c r="I173" s="514">
        <v>0</v>
      </c>
      <c r="J173" s="514">
        <v>0</v>
      </c>
      <c r="K173" s="514">
        <v>0</v>
      </c>
      <c r="L173" s="514">
        <v>0</v>
      </c>
      <c r="M173" s="514">
        <v>0</v>
      </c>
      <c r="N173" s="514">
        <v>0</v>
      </c>
      <c r="O173" s="499"/>
      <c r="P173" s="499"/>
      <c r="Q173" s="499"/>
    </row>
    <row r="174" spans="1:17" ht="14.4" x14ac:dyDescent="0.3">
      <c r="A174" s="502">
        <v>1310117</v>
      </c>
      <c r="B174" s="503" t="s">
        <v>1984</v>
      </c>
      <c r="C174" s="514">
        <v>0</v>
      </c>
      <c r="D174" s="514">
        <v>0</v>
      </c>
      <c r="E174" s="514">
        <v>0</v>
      </c>
      <c r="F174" s="514">
        <v>0</v>
      </c>
      <c r="G174" s="514">
        <v>0</v>
      </c>
      <c r="H174" s="514">
        <v>0</v>
      </c>
      <c r="I174" s="514">
        <v>0</v>
      </c>
      <c r="J174" s="514">
        <v>0</v>
      </c>
      <c r="K174" s="514">
        <v>0</v>
      </c>
      <c r="L174" s="514">
        <v>0</v>
      </c>
      <c r="M174" s="514">
        <v>0</v>
      </c>
      <c r="N174" s="514">
        <v>0</v>
      </c>
      <c r="O174" s="499"/>
      <c r="P174" s="499"/>
      <c r="Q174" s="499"/>
    </row>
    <row r="175" spans="1:17" ht="14.4" x14ac:dyDescent="0.3">
      <c r="A175" s="502">
        <v>1310118</v>
      </c>
      <c r="B175" s="503" t="s">
        <v>1985</v>
      </c>
      <c r="C175" s="514">
        <v>0</v>
      </c>
      <c r="D175" s="514">
        <v>0</v>
      </c>
      <c r="E175" s="514">
        <v>0</v>
      </c>
      <c r="F175" s="514">
        <v>0</v>
      </c>
      <c r="G175" s="514">
        <v>0</v>
      </c>
      <c r="H175" s="514">
        <v>0</v>
      </c>
      <c r="I175" s="514">
        <v>0</v>
      </c>
      <c r="J175" s="514">
        <v>0</v>
      </c>
      <c r="K175" s="514">
        <v>0</v>
      </c>
      <c r="L175" s="514">
        <v>0</v>
      </c>
      <c r="M175" s="514">
        <v>0</v>
      </c>
      <c r="N175" s="514">
        <v>0</v>
      </c>
      <c r="O175" s="499"/>
      <c r="P175" s="499"/>
      <c r="Q175" s="499"/>
    </row>
    <row r="176" spans="1:17" ht="14.4" x14ac:dyDescent="0.3">
      <c r="A176" s="502">
        <v>1310120</v>
      </c>
      <c r="B176" s="503" t="s">
        <v>1986</v>
      </c>
      <c r="C176" s="514">
        <v>0</v>
      </c>
      <c r="D176" s="514">
        <v>0</v>
      </c>
      <c r="E176" s="514">
        <v>0</v>
      </c>
      <c r="F176" s="514">
        <v>0</v>
      </c>
      <c r="G176" s="514">
        <v>0</v>
      </c>
      <c r="H176" s="514">
        <v>0</v>
      </c>
      <c r="I176" s="514">
        <v>0</v>
      </c>
      <c r="J176" s="514">
        <v>0</v>
      </c>
      <c r="K176" s="514">
        <v>0</v>
      </c>
      <c r="L176" s="514">
        <v>0</v>
      </c>
      <c r="M176" s="514">
        <v>0</v>
      </c>
      <c r="N176" s="514">
        <v>0</v>
      </c>
      <c r="O176" s="499"/>
      <c r="P176" s="499"/>
      <c r="Q176" s="499"/>
    </row>
    <row r="177" spans="1:17" ht="14.4" x14ac:dyDescent="0.3">
      <c r="A177" s="502">
        <v>1310121</v>
      </c>
      <c r="B177" s="503" t="s">
        <v>1987</v>
      </c>
      <c r="C177" s="514">
        <v>0</v>
      </c>
      <c r="D177" s="514">
        <v>0</v>
      </c>
      <c r="E177" s="514">
        <v>0</v>
      </c>
      <c r="F177" s="514">
        <v>0</v>
      </c>
      <c r="G177" s="514">
        <v>0</v>
      </c>
      <c r="H177" s="514">
        <v>0</v>
      </c>
      <c r="I177" s="514">
        <v>0</v>
      </c>
      <c r="J177" s="514">
        <v>0</v>
      </c>
      <c r="K177" s="514">
        <v>0</v>
      </c>
      <c r="L177" s="514">
        <v>0</v>
      </c>
      <c r="M177" s="514">
        <v>0</v>
      </c>
      <c r="N177" s="514">
        <v>0</v>
      </c>
      <c r="O177" s="499"/>
      <c r="P177" s="499"/>
      <c r="Q177" s="499"/>
    </row>
    <row r="178" spans="1:17" ht="14.4" x14ac:dyDescent="0.3">
      <c r="A178" s="502">
        <v>1310122</v>
      </c>
      <c r="B178" s="503" t="s">
        <v>1988</v>
      </c>
      <c r="C178" s="514">
        <v>0</v>
      </c>
      <c r="D178" s="514">
        <v>0</v>
      </c>
      <c r="E178" s="514">
        <v>0</v>
      </c>
      <c r="F178" s="514">
        <v>0</v>
      </c>
      <c r="G178" s="514">
        <v>0</v>
      </c>
      <c r="H178" s="514">
        <v>0</v>
      </c>
      <c r="I178" s="514">
        <v>0</v>
      </c>
      <c r="J178" s="514">
        <v>0</v>
      </c>
      <c r="K178" s="514">
        <v>0</v>
      </c>
      <c r="L178" s="514">
        <v>0</v>
      </c>
      <c r="M178" s="514">
        <v>0</v>
      </c>
      <c r="N178" s="514">
        <v>0</v>
      </c>
      <c r="O178" s="499"/>
      <c r="P178" s="499"/>
      <c r="Q178" s="499"/>
    </row>
    <row r="179" spans="1:17" ht="14.4" x14ac:dyDescent="0.3">
      <c r="A179" s="502">
        <v>1310123</v>
      </c>
      <c r="B179" s="503" t="s">
        <v>1989</v>
      </c>
      <c r="C179" s="514">
        <v>0</v>
      </c>
      <c r="D179" s="514">
        <v>0</v>
      </c>
      <c r="E179" s="514">
        <v>0</v>
      </c>
      <c r="F179" s="514">
        <v>0</v>
      </c>
      <c r="G179" s="514">
        <v>0</v>
      </c>
      <c r="H179" s="514">
        <v>0</v>
      </c>
      <c r="I179" s="514">
        <v>0</v>
      </c>
      <c r="J179" s="514">
        <v>0</v>
      </c>
      <c r="K179" s="514">
        <v>0</v>
      </c>
      <c r="L179" s="514">
        <v>0</v>
      </c>
      <c r="M179" s="514">
        <v>0</v>
      </c>
      <c r="N179" s="514">
        <v>0</v>
      </c>
      <c r="O179" s="499"/>
      <c r="P179" s="499"/>
      <c r="Q179" s="499"/>
    </row>
    <row r="180" spans="1:17" ht="14.4" x14ac:dyDescent="0.3">
      <c r="A180" s="502">
        <v>1310124</v>
      </c>
      <c r="B180" s="503" t="s">
        <v>1990</v>
      </c>
      <c r="C180" s="514">
        <v>0</v>
      </c>
      <c r="D180" s="514">
        <v>0</v>
      </c>
      <c r="E180" s="514">
        <v>0</v>
      </c>
      <c r="F180" s="514">
        <v>0</v>
      </c>
      <c r="G180" s="514">
        <v>0</v>
      </c>
      <c r="H180" s="514">
        <v>0</v>
      </c>
      <c r="I180" s="514">
        <v>0</v>
      </c>
      <c r="J180" s="514">
        <v>0</v>
      </c>
      <c r="K180" s="514">
        <v>0</v>
      </c>
      <c r="L180" s="514">
        <v>0</v>
      </c>
      <c r="M180" s="514">
        <v>0</v>
      </c>
      <c r="N180" s="514">
        <v>0</v>
      </c>
      <c r="O180" s="499"/>
      <c r="P180" s="499"/>
      <c r="Q180" s="499"/>
    </row>
    <row r="181" spans="1:17" ht="14.4" x14ac:dyDescent="0.3">
      <c r="A181" s="502">
        <v>1310125</v>
      </c>
      <c r="B181" s="503" t="s">
        <v>1991</v>
      </c>
      <c r="C181" s="514">
        <v>0</v>
      </c>
      <c r="D181" s="514">
        <v>0</v>
      </c>
      <c r="E181" s="514">
        <v>0</v>
      </c>
      <c r="F181" s="514">
        <v>0</v>
      </c>
      <c r="G181" s="514">
        <v>0</v>
      </c>
      <c r="H181" s="514">
        <v>0</v>
      </c>
      <c r="I181" s="514">
        <v>0</v>
      </c>
      <c r="J181" s="514">
        <v>0</v>
      </c>
      <c r="K181" s="514">
        <v>0</v>
      </c>
      <c r="L181" s="514">
        <v>0</v>
      </c>
      <c r="M181" s="514">
        <v>0</v>
      </c>
      <c r="N181" s="514">
        <v>0</v>
      </c>
      <c r="O181" s="499"/>
      <c r="P181" s="499"/>
      <c r="Q181" s="499"/>
    </row>
    <row r="182" spans="1:17" ht="14.4" x14ac:dyDescent="0.3">
      <c r="A182" s="502">
        <v>1310126</v>
      </c>
      <c r="B182" s="503" t="s">
        <v>1992</v>
      </c>
      <c r="C182" s="514">
        <v>0</v>
      </c>
      <c r="D182" s="514">
        <v>0</v>
      </c>
      <c r="E182" s="514">
        <v>0</v>
      </c>
      <c r="F182" s="514">
        <v>0</v>
      </c>
      <c r="G182" s="514">
        <v>0</v>
      </c>
      <c r="H182" s="514">
        <v>0</v>
      </c>
      <c r="I182" s="514">
        <v>0</v>
      </c>
      <c r="J182" s="514">
        <v>0</v>
      </c>
      <c r="K182" s="514">
        <v>0</v>
      </c>
      <c r="L182" s="514">
        <v>0</v>
      </c>
      <c r="M182" s="514">
        <v>0</v>
      </c>
      <c r="N182" s="514">
        <v>0</v>
      </c>
      <c r="O182" s="499"/>
      <c r="P182" s="499"/>
      <c r="Q182" s="499"/>
    </row>
    <row r="183" spans="1:17" ht="14.4" x14ac:dyDescent="0.3">
      <c r="A183" s="502">
        <v>1310127</v>
      </c>
      <c r="B183" s="503" t="s">
        <v>1993</v>
      </c>
      <c r="C183" s="514">
        <v>0</v>
      </c>
      <c r="D183" s="514">
        <v>0</v>
      </c>
      <c r="E183" s="514">
        <v>0</v>
      </c>
      <c r="F183" s="514">
        <v>0</v>
      </c>
      <c r="G183" s="514">
        <v>0</v>
      </c>
      <c r="H183" s="514">
        <v>0</v>
      </c>
      <c r="I183" s="514">
        <v>0</v>
      </c>
      <c r="J183" s="514">
        <v>0</v>
      </c>
      <c r="K183" s="514">
        <v>0</v>
      </c>
      <c r="L183" s="514">
        <v>0</v>
      </c>
      <c r="M183" s="514">
        <v>0</v>
      </c>
      <c r="N183" s="514">
        <v>0</v>
      </c>
      <c r="O183" s="499"/>
      <c r="P183" s="499"/>
      <c r="Q183" s="499"/>
    </row>
    <row r="184" spans="1:17" ht="14.4" x14ac:dyDescent="0.3">
      <c r="A184" s="502">
        <v>1310128</v>
      </c>
      <c r="B184" s="503" t="s">
        <v>1994</v>
      </c>
      <c r="C184" s="514">
        <v>0</v>
      </c>
      <c r="D184" s="514">
        <v>0</v>
      </c>
      <c r="E184" s="514">
        <v>0</v>
      </c>
      <c r="F184" s="514">
        <v>0</v>
      </c>
      <c r="G184" s="514">
        <v>0</v>
      </c>
      <c r="H184" s="514">
        <v>0</v>
      </c>
      <c r="I184" s="514">
        <v>0</v>
      </c>
      <c r="J184" s="514">
        <v>0</v>
      </c>
      <c r="K184" s="514">
        <v>0</v>
      </c>
      <c r="L184" s="514">
        <v>0</v>
      </c>
      <c r="M184" s="514">
        <v>0</v>
      </c>
      <c r="N184" s="514">
        <v>0</v>
      </c>
      <c r="O184" s="499"/>
      <c r="P184" s="499"/>
      <c r="Q184" s="499"/>
    </row>
    <row r="185" spans="1:17" ht="14.4" x14ac:dyDescent="0.3">
      <c r="A185" s="502">
        <v>1310130</v>
      </c>
      <c r="B185" s="503" t="s">
        <v>1995</v>
      </c>
      <c r="C185" s="514">
        <v>0</v>
      </c>
      <c r="D185" s="514">
        <v>0</v>
      </c>
      <c r="E185" s="514">
        <v>0</v>
      </c>
      <c r="F185" s="514">
        <v>0</v>
      </c>
      <c r="G185" s="514">
        <v>0</v>
      </c>
      <c r="H185" s="514">
        <v>0</v>
      </c>
      <c r="I185" s="514">
        <v>0</v>
      </c>
      <c r="J185" s="514">
        <v>0</v>
      </c>
      <c r="K185" s="514">
        <v>0</v>
      </c>
      <c r="L185" s="514">
        <v>0</v>
      </c>
      <c r="M185" s="514">
        <v>0</v>
      </c>
      <c r="N185" s="514">
        <v>0</v>
      </c>
      <c r="O185" s="499"/>
      <c r="P185" s="499"/>
      <c r="Q185" s="499"/>
    </row>
    <row r="186" spans="1:17" ht="14.4" x14ac:dyDescent="0.3">
      <c r="A186" s="502">
        <v>1310131</v>
      </c>
      <c r="B186" s="503" t="s">
        <v>1996</v>
      </c>
      <c r="C186" s="514">
        <v>0</v>
      </c>
      <c r="D186" s="514">
        <v>0</v>
      </c>
      <c r="E186" s="514">
        <v>0</v>
      </c>
      <c r="F186" s="514">
        <v>0</v>
      </c>
      <c r="G186" s="514">
        <v>0</v>
      </c>
      <c r="H186" s="514">
        <v>0</v>
      </c>
      <c r="I186" s="514">
        <v>0</v>
      </c>
      <c r="J186" s="514">
        <v>0</v>
      </c>
      <c r="K186" s="514">
        <v>0</v>
      </c>
      <c r="L186" s="514">
        <v>0</v>
      </c>
      <c r="M186" s="514">
        <v>0</v>
      </c>
      <c r="N186" s="514">
        <v>0</v>
      </c>
      <c r="O186" s="499"/>
      <c r="P186" s="499"/>
      <c r="Q186" s="499"/>
    </row>
    <row r="187" spans="1:17" ht="14.4" x14ac:dyDescent="0.3">
      <c r="A187" s="502">
        <v>1310132</v>
      </c>
      <c r="B187" s="503" t="s">
        <v>1997</v>
      </c>
      <c r="C187" s="514">
        <v>0</v>
      </c>
      <c r="D187" s="514">
        <v>0</v>
      </c>
      <c r="E187" s="514">
        <v>0</v>
      </c>
      <c r="F187" s="514">
        <v>0</v>
      </c>
      <c r="G187" s="514">
        <v>0</v>
      </c>
      <c r="H187" s="514">
        <v>0</v>
      </c>
      <c r="I187" s="514">
        <v>0</v>
      </c>
      <c r="J187" s="514">
        <v>0</v>
      </c>
      <c r="K187" s="514">
        <v>0</v>
      </c>
      <c r="L187" s="514">
        <v>0</v>
      </c>
      <c r="M187" s="514">
        <v>0</v>
      </c>
      <c r="N187" s="514">
        <v>0</v>
      </c>
      <c r="O187" s="499"/>
      <c r="P187" s="499"/>
      <c r="Q187" s="499"/>
    </row>
    <row r="188" spans="1:17" ht="14.4" x14ac:dyDescent="0.3">
      <c r="A188" s="502">
        <v>1310133</v>
      </c>
      <c r="B188" s="503" t="s">
        <v>1998</v>
      </c>
      <c r="C188" s="514">
        <v>0</v>
      </c>
      <c r="D188" s="514">
        <v>0</v>
      </c>
      <c r="E188" s="514">
        <v>0</v>
      </c>
      <c r="F188" s="514">
        <v>0</v>
      </c>
      <c r="G188" s="514">
        <v>0</v>
      </c>
      <c r="H188" s="514">
        <v>0</v>
      </c>
      <c r="I188" s="514">
        <v>0</v>
      </c>
      <c r="J188" s="514">
        <v>0</v>
      </c>
      <c r="K188" s="514">
        <v>0</v>
      </c>
      <c r="L188" s="514">
        <v>0</v>
      </c>
      <c r="M188" s="514">
        <v>0</v>
      </c>
      <c r="N188" s="514">
        <v>0</v>
      </c>
      <c r="O188" s="499"/>
      <c r="P188" s="499"/>
      <c r="Q188" s="499"/>
    </row>
    <row r="189" spans="1:17" ht="14.4" x14ac:dyDescent="0.3">
      <c r="A189" s="502">
        <v>1310134</v>
      </c>
      <c r="B189" s="503" t="s">
        <v>1999</v>
      </c>
      <c r="C189" s="514">
        <v>0</v>
      </c>
      <c r="D189" s="514">
        <v>0</v>
      </c>
      <c r="E189" s="514">
        <v>0</v>
      </c>
      <c r="F189" s="514">
        <v>0</v>
      </c>
      <c r="G189" s="514">
        <v>0</v>
      </c>
      <c r="H189" s="514">
        <v>0</v>
      </c>
      <c r="I189" s="514">
        <v>0</v>
      </c>
      <c r="J189" s="514">
        <v>0</v>
      </c>
      <c r="K189" s="514">
        <v>0</v>
      </c>
      <c r="L189" s="514">
        <v>0</v>
      </c>
      <c r="M189" s="514">
        <v>0</v>
      </c>
      <c r="N189" s="514">
        <v>0</v>
      </c>
      <c r="O189" s="499"/>
      <c r="P189" s="499"/>
      <c r="Q189" s="499"/>
    </row>
    <row r="190" spans="1:17" ht="14.4" x14ac:dyDescent="0.3">
      <c r="A190" s="502">
        <v>1310135</v>
      </c>
      <c r="B190" s="503" t="s">
        <v>2000</v>
      </c>
      <c r="C190" s="514">
        <v>0</v>
      </c>
      <c r="D190" s="514">
        <v>0</v>
      </c>
      <c r="E190" s="514">
        <v>0</v>
      </c>
      <c r="F190" s="514">
        <v>0</v>
      </c>
      <c r="G190" s="514">
        <v>0</v>
      </c>
      <c r="H190" s="514">
        <v>0</v>
      </c>
      <c r="I190" s="514">
        <v>0</v>
      </c>
      <c r="J190" s="514">
        <v>0</v>
      </c>
      <c r="K190" s="514">
        <v>0</v>
      </c>
      <c r="L190" s="514">
        <v>0</v>
      </c>
      <c r="M190" s="514">
        <v>0</v>
      </c>
      <c r="N190" s="514">
        <v>0</v>
      </c>
      <c r="O190" s="499"/>
      <c r="P190" s="499"/>
      <c r="Q190" s="499"/>
    </row>
    <row r="191" spans="1:17" ht="14.4" x14ac:dyDescent="0.3">
      <c r="A191" s="502">
        <v>1310136</v>
      </c>
      <c r="B191" s="503" t="s">
        <v>2001</v>
      </c>
      <c r="C191" s="514">
        <v>0</v>
      </c>
      <c r="D191" s="514">
        <v>0</v>
      </c>
      <c r="E191" s="514">
        <v>0</v>
      </c>
      <c r="F191" s="514">
        <v>0</v>
      </c>
      <c r="G191" s="514">
        <v>0</v>
      </c>
      <c r="H191" s="514">
        <v>0</v>
      </c>
      <c r="I191" s="514">
        <v>0</v>
      </c>
      <c r="J191" s="514">
        <v>0</v>
      </c>
      <c r="K191" s="514">
        <v>0</v>
      </c>
      <c r="L191" s="514">
        <v>0</v>
      </c>
      <c r="M191" s="514">
        <v>0</v>
      </c>
      <c r="N191" s="514">
        <v>0</v>
      </c>
      <c r="O191" s="499"/>
      <c r="P191" s="499"/>
      <c r="Q191" s="499"/>
    </row>
    <row r="192" spans="1:17" ht="14.4" x14ac:dyDescent="0.3">
      <c r="A192" s="502">
        <v>1310137</v>
      </c>
      <c r="B192" s="503" t="s">
        <v>2002</v>
      </c>
      <c r="C192" s="514">
        <v>0</v>
      </c>
      <c r="D192" s="514">
        <v>0</v>
      </c>
      <c r="E192" s="514">
        <v>0</v>
      </c>
      <c r="F192" s="514">
        <v>0</v>
      </c>
      <c r="G192" s="514">
        <v>0</v>
      </c>
      <c r="H192" s="514">
        <v>0</v>
      </c>
      <c r="I192" s="514">
        <v>0</v>
      </c>
      <c r="J192" s="514">
        <v>0</v>
      </c>
      <c r="K192" s="514">
        <v>0</v>
      </c>
      <c r="L192" s="514">
        <v>0</v>
      </c>
      <c r="M192" s="514">
        <v>0</v>
      </c>
      <c r="N192" s="514">
        <v>0</v>
      </c>
      <c r="O192" s="499"/>
      <c r="P192" s="499"/>
      <c r="Q192" s="499"/>
    </row>
    <row r="193" spans="1:17" ht="14.4" x14ac:dyDescent="0.3">
      <c r="A193" s="502">
        <v>1310138</v>
      </c>
      <c r="B193" s="503" t="s">
        <v>2003</v>
      </c>
      <c r="C193" s="514">
        <v>0</v>
      </c>
      <c r="D193" s="514">
        <v>0</v>
      </c>
      <c r="E193" s="514">
        <v>0</v>
      </c>
      <c r="F193" s="514">
        <v>0</v>
      </c>
      <c r="G193" s="514">
        <v>0</v>
      </c>
      <c r="H193" s="514">
        <v>0</v>
      </c>
      <c r="I193" s="514">
        <v>0</v>
      </c>
      <c r="J193" s="514">
        <v>0</v>
      </c>
      <c r="K193" s="514">
        <v>0</v>
      </c>
      <c r="L193" s="514">
        <v>0</v>
      </c>
      <c r="M193" s="514">
        <v>0</v>
      </c>
      <c r="N193" s="514">
        <v>0</v>
      </c>
      <c r="O193" s="499"/>
      <c r="P193" s="499"/>
      <c r="Q193" s="499"/>
    </row>
    <row r="194" spans="1:17" ht="14.4" x14ac:dyDescent="0.3">
      <c r="A194" s="502">
        <v>1310140</v>
      </c>
      <c r="B194" s="503" t="s">
        <v>2004</v>
      </c>
      <c r="C194" s="514">
        <v>0</v>
      </c>
      <c r="D194" s="514">
        <v>0</v>
      </c>
      <c r="E194" s="514">
        <v>0</v>
      </c>
      <c r="F194" s="514">
        <v>0</v>
      </c>
      <c r="G194" s="514">
        <v>0</v>
      </c>
      <c r="H194" s="514">
        <v>0</v>
      </c>
      <c r="I194" s="514">
        <v>0</v>
      </c>
      <c r="J194" s="514">
        <v>0</v>
      </c>
      <c r="K194" s="514">
        <v>0</v>
      </c>
      <c r="L194" s="514">
        <v>0</v>
      </c>
      <c r="M194" s="514">
        <v>0</v>
      </c>
      <c r="N194" s="514">
        <v>0</v>
      </c>
      <c r="O194" s="499"/>
      <c r="P194" s="499"/>
      <c r="Q194" s="499"/>
    </row>
    <row r="195" spans="1:17" ht="14.4" x14ac:dyDescent="0.3">
      <c r="A195" s="502">
        <v>1310150</v>
      </c>
      <c r="B195" s="503" t="s">
        <v>2005</v>
      </c>
      <c r="C195" s="514">
        <v>0</v>
      </c>
      <c r="D195" s="514">
        <v>0</v>
      </c>
      <c r="E195" s="514">
        <v>0</v>
      </c>
      <c r="F195" s="514">
        <v>0</v>
      </c>
      <c r="G195" s="514">
        <v>0</v>
      </c>
      <c r="H195" s="514">
        <v>0</v>
      </c>
      <c r="I195" s="514">
        <v>0</v>
      </c>
      <c r="J195" s="514">
        <v>0</v>
      </c>
      <c r="K195" s="514">
        <v>0</v>
      </c>
      <c r="L195" s="514">
        <v>0</v>
      </c>
      <c r="M195" s="514">
        <v>0</v>
      </c>
      <c r="N195" s="514">
        <v>0</v>
      </c>
      <c r="O195" s="499"/>
      <c r="P195" s="499"/>
      <c r="Q195" s="499"/>
    </row>
    <row r="196" spans="1:17" ht="14.4" x14ac:dyDescent="0.3">
      <c r="A196" s="502">
        <v>1310160</v>
      </c>
      <c r="B196" s="503" t="s">
        <v>2006</v>
      </c>
      <c r="C196" s="514">
        <v>0</v>
      </c>
      <c r="D196" s="514">
        <v>0</v>
      </c>
      <c r="E196" s="514">
        <v>0</v>
      </c>
      <c r="F196" s="514">
        <v>0</v>
      </c>
      <c r="G196" s="514">
        <v>0</v>
      </c>
      <c r="H196" s="514">
        <v>0</v>
      </c>
      <c r="I196" s="514">
        <v>0</v>
      </c>
      <c r="J196" s="514">
        <v>0</v>
      </c>
      <c r="K196" s="514">
        <v>0</v>
      </c>
      <c r="L196" s="514">
        <v>0</v>
      </c>
      <c r="M196" s="514">
        <v>0</v>
      </c>
      <c r="N196" s="514">
        <v>0</v>
      </c>
      <c r="O196" s="499"/>
      <c r="P196" s="499"/>
      <c r="Q196" s="499"/>
    </row>
    <row r="197" spans="1:17" ht="14.4" x14ac:dyDescent="0.3">
      <c r="A197" s="502">
        <v>1310170</v>
      </c>
      <c r="B197" s="503" t="s">
        <v>2007</v>
      </c>
      <c r="C197" s="514">
        <v>0</v>
      </c>
      <c r="D197" s="514">
        <v>0</v>
      </c>
      <c r="E197" s="514">
        <v>0</v>
      </c>
      <c r="F197" s="514">
        <v>0</v>
      </c>
      <c r="G197" s="514">
        <v>0</v>
      </c>
      <c r="H197" s="514">
        <v>0</v>
      </c>
      <c r="I197" s="514">
        <v>0</v>
      </c>
      <c r="J197" s="514">
        <v>0</v>
      </c>
      <c r="K197" s="514">
        <v>0</v>
      </c>
      <c r="L197" s="514">
        <v>0</v>
      </c>
      <c r="M197" s="514">
        <v>0</v>
      </c>
      <c r="N197" s="514">
        <v>0</v>
      </c>
      <c r="O197" s="499"/>
      <c r="P197" s="499"/>
      <c r="Q197" s="499"/>
    </row>
    <row r="198" spans="1:17" ht="14.4" x14ac:dyDescent="0.3">
      <c r="A198" s="502">
        <v>1310180</v>
      </c>
      <c r="B198" s="503" t="s">
        <v>2008</v>
      </c>
      <c r="C198" s="514">
        <v>0</v>
      </c>
      <c r="D198" s="514">
        <v>0</v>
      </c>
      <c r="E198" s="514">
        <v>0</v>
      </c>
      <c r="F198" s="514">
        <v>0</v>
      </c>
      <c r="G198" s="514">
        <v>0</v>
      </c>
      <c r="H198" s="514">
        <v>0</v>
      </c>
      <c r="I198" s="514">
        <v>0</v>
      </c>
      <c r="J198" s="514">
        <v>0</v>
      </c>
      <c r="K198" s="514">
        <v>0</v>
      </c>
      <c r="L198" s="514">
        <v>0</v>
      </c>
      <c r="M198" s="514">
        <v>0</v>
      </c>
      <c r="N198" s="514">
        <v>0</v>
      </c>
      <c r="O198" s="499"/>
      <c r="P198" s="499"/>
      <c r="Q198" s="499"/>
    </row>
    <row r="199" spans="1:17" ht="14.4" x14ac:dyDescent="0.3">
      <c r="A199" s="502">
        <v>1310181</v>
      </c>
      <c r="B199" s="503" t="s">
        <v>2009</v>
      </c>
      <c r="C199" s="514">
        <v>0</v>
      </c>
      <c r="D199" s="514">
        <v>0</v>
      </c>
      <c r="E199" s="514">
        <v>0</v>
      </c>
      <c r="F199" s="514">
        <v>0</v>
      </c>
      <c r="G199" s="514">
        <v>0</v>
      </c>
      <c r="H199" s="514">
        <v>0</v>
      </c>
      <c r="I199" s="514">
        <v>0</v>
      </c>
      <c r="J199" s="514">
        <v>0</v>
      </c>
      <c r="K199" s="514">
        <v>0</v>
      </c>
      <c r="L199" s="514">
        <v>0</v>
      </c>
      <c r="M199" s="514">
        <v>0</v>
      </c>
      <c r="N199" s="514">
        <v>0</v>
      </c>
      <c r="O199" s="499"/>
      <c r="P199" s="499"/>
      <c r="Q199" s="499"/>
    </row>
    <row r="200" spans="1:17" ht="14.4" x14ac:dyDescent="0.3">
      <c r="A200" s="502">
        <v>1310182</v>
      </c>
      <c r="B200" s="503" t="s">
        <v>2010</v>
      </c>
      <c r="C200" s="514">
        <v>0</v>
      </c>
      <c r="D200" s="514">
        <v>0</v>
      </c>
      <c r="E200" s="514">
        <v>0</v>
      </c>
      <c r="F200" s="514">
        <v>0</v>
      </c>
      <c r="G200" s="514">
        <v>0</v>
      </c>
      <c r="H200" s="514">
        <v>0</v>
      </c>
      <c r="I200" s="514">
        <v>0</v>
      </c>
      <c r="J200" s="514">
        <v>0</v>
      </c>
      <c r="K200" s="514">
        <v>0</v>
      </c>
      <c r="L200" s="514">
        <v>0</v>
      </c>
      <c r="M200" s="514">
        <v>0</v>
      </c>
      <c r="N200" s="514">
        <v>0</v>
      </c>
      <c r="O200" s="499"/>
      <c r="P200" s="499"/>
      <c r="Q200" s="499"/>
    </row>
    <row r="201" spans="1:17" ht="14.4" x14ac:dyDescent="0.3">
      <c r="A201" s="502">
        <v>1310183</v>
      </c>
      <c r="B201" s="503" t="s">
        <v>2011</v>
      </c>
      <c r="C201" s="514">
        <v>0</v>
      </c>
      <c r="D201" s="514">
        <v>0</v>
      </c>
      <c r="E201" s="514">
        <v>0</v>
      </c>
      <c r="F201" s="514">
        <v>0</v>
      </c>
      <c r="G201" s="514">
        <v>0</v>
      </c>
      <c r="H201" s="514">
        <v>0</v>
      </c>
      <c r="I201" s="514">
        <v>0</v>
      </c>
      <c r="J201" s="514">
        <v>0</v>
      </c>
      <c r="K201" s="514">
        <v>0</v>
      </c>
      <c r="L201" s="514">
        <v>0</v>
      </c>
      <c r="M201" s="514">
        <v>0</v>
      </c>
      <c r="N201" s="514">
        <v>0</v>
      </c>
      <c r="O201" s="499"/>
      <c r="P201" s="499"/>
      <c r="Q201" s="499"/>
    </row>
    <row r="202" spans="1:17" ht="14.4" x14ac:dyDescent="0.3">
      <c r="A202" s="502">
        <v>1310184</v>
      </c>
      <c r="B202" s="503" t="s">
        <v>2012</v>
      </c>
      <c r="C202" s="514">
        <v>0</v>
      </c>
      <c r="D202" s="514">
        <v>0</v>
      </c>
      <c r="E202" s="514">
        <v>0</v>
      </c>
      <c r="F202" s="514">
        <v>0</v>
      </c>
      <c r="G202" s="514">
        <v>0</v>
      </c>
      <c r="H202" s="514">
        <v>0</v>
      </c>
      <c r="I202" s="514">
        <v>0</v>
      </c>
      <c r="J202" s="514">
        <v>0</v>
      </c>
      <c r="K202" s="514">
        <v>0</v>
      </c>
      <c r="L202" s="514">
        <v>0</v>
      </c>
      <c r="M202" s="514">
        <v>0</v>
      </c>
      <c r="N202" s="514">
        <v>0</v>
      </c>
      <c r="O202" s="499"/>
      <c r="P202" s="499"/>
      <c r="Q202" s="499"/>
    </row>
    <row r="203" spans="1:17" ht="14.4" x14ac:dyDescent="0.3">
      <c r="A203" s="502">
        <v>1310185</v>
      </c>
      <c r="B203" s="503" t="s">
        <v>2013</v>
      </c>
      <c r="C203" s="514">
        <v>0</v>
      </c>
      <c r="D203" s="514">
        <v>0</v>
      </c>
      <c r="E203" s="514">
        <v>0</v>
      </c>
      <c r="F203" s="514">
        <v>0</v>
      </c>
      <c r="G203" s="514">
        <v>0</v>
      </c>
      <c r="H203" s="514">
        <v>0</v>
      </c>
      <c r="I203" s="514">
        <v>0</v>
      </c>
      <c r="J203" s="514">
        <v>0</v>
      </c>
      <c r="K203" s="514">
        <v>0</v>
      </c>
      <c r="L203" s="514">
        <v>0</v>
      </c>
      <c r="M203" s="514">
        <v>0</v>
      </c>
      <c r="N203" s="514">
        <v>0</v>
      </c>
      <c r="O203" s="499"/>
      <c r="P203" s="499"/>
      <c r="Q203" s="499"/>
    </row>
    <row r="204" spans="1:17" ht="14.4" x14ac:dyDescent="0.3">
      <c r="A204" s="502">
        <v>1310186</v>
      </c>
      <c r="B204" s="503" t="s">
        <v>2014</v>
      </c>
      <c r="C204" s="514">
        <v>0</v>
      </c>
      <c r="D204" s="514">
        <v>0</v>
      </c>
      <c r="E204" s="514">
        <v>0</v>
      </c>
      <c r="F204" s="514">
        <v>0</v>
      </c>
      <c r="G204" s="514">
        <v>0</v>
      </c>
      <c r="H204" s="514">
        <v>0</v>
      </c>
      <c r="I204" s="514">
        <v>0</v>
      </c>
      <c r="J204" s="514">
        <v>0</v>
      </c>
      <c r="K204" s="514">
        <v>0</v>
      </c>
      <c r="L204" s="514">
        <v>0</v>
      </c>
      <c r="M204" s="514">
        <v>0</v>
      </c>
      <c r="N204" s="514">
        <v>0</v>
      </c>
      <c r="O204" s="499"/>
      <c r="P204" s="499"/>
      <c r="Q204" s="499"/>
    </row>
    <row r="205" spans="1:17" ht="14.4" x14ac:dyDescent="0.3">
      <c r="A205" s="502">
        <v>1310187</v>
      </c>
      <c r="B205" s="503" t="s">
        <v>2015</v>
      </c>
      <c r="C205" s="514">
        <v>0</v>
      </c>
      <c r="D205" s="514">
        <v>0</v>
      </c>
      <c r="E205" s="514">
        <v>0</v>
      </c>
      <c r="F205" s="514">
        <v>0</v>
      </c>
      <c r="G205" s="514">
        <v>0</v>
      </c>
      <c r="H205" s="514">
        <v>0</v>
      </c>
      <c r="I205" s="514">
        <v>0</v>
      </c>
      <c r="J205" s="514">
        <v>0</v>
      </c>
      <c r="K205" s="514">
        <v>0</v>
      </c>
      <c r="L205" s="514">
        <v>0</v>
      </c>
      <c r="M205" s="514">
        <v>0</v>
      </c>
      <c r="N205" s="514">
        <v>0</v>
      </c>
      <c r="O205" s="499"/>
      <c r="P205" s="499"/>
      <c r="Q205" s="499"/>
    </row>
    <row r="206" spans="1:17" ht="14.4" x14ac:dyDescent="0.3">
      <c r="A206" s="502">
        <v>1310188</v>
      </c>
      <c r="B206" s="503" t="s">
        <v>2016</v>
      </c>
      <c r="C206" s="514">
        <v>0</v>
      </c>
      <c r="D206" s="514">
        <v>0</v>
      </c>
      <c r="E206" s="514">
        <v>0</v>
      </c>
      <c r="F206" s="514">
        <v>0</v>
      </c>
      <c r="G206" s="514">
        <v>0</v>
      </c>
      <c r="H206" s="514">
        <v>0</v>
      </c>
      <c r="I206" s="514">
        <v>0</v>
      </c>
      <c r="J206" s="514">
        <v>0</v>
      </c>
      <c r="K206" s="514">
        <v>0</v>
      </c>
      <c r="L206" s="514">
        <v>0</v>
      </c>
      <c r="M206" s="514">
        <v>0</v>
      </c>
      <c r="N206" s="514">
        <v>0</v>
      </c>
      <c r="O206" s="499"/>
      <c r="P206" s="499"/>
      <c r="Q206" s="499"/>
    </row>
    <row r="207" spans="1:17" ht="14.4" x14ac:dyDescent="0.3">
      <c r="A207" s="502">
        <v>1310190</v>
      </c>
      <c r="B207" s="503" t="s">
        <v>2017</v>
      </c>
      <c r="C207" s="514">
        <v>0</v>
      </c>
      <c r="D207" s="514">
        <v>0</v>
      </c>
      <c r="E207" s="514">
        <v>0</v>
      </c>
      <c r="F207" s="514">
        <v>0</v>
      </c>
      <c r="G207" s="514">
        <v>0</v>
      </c>
      <c r="H207" s="514">
        <v>0</v>
      </c>
      <c r="I207" s="514">
        <v>0</v>
      </c>
      <c r="J207" s="514">
        <v>0</v>
      </c>
      <c r="K207" s="514">
        <v>0</v>
      </c>
      <c r="L207" s="514">
        <v>0</v>
      </c>
      <c r="M207" s="514">
        <v>0</v>
      </c>
      <c r="N207" s="514">
        <v>0</v>
      </c>
      <c r="O207" s="499"/>
      <c r="P207" s="499"/>
      <c r="Q207" s="499"/>
    </row>
    <row r="208" spans="1:17" ht="14.4" x14ac:dyDescent="0.3">
      <c r="A208" s="502">
        <v>1310191</v>
      </c>
      <c r="B208" s="503" t="s">
        <v>2018</v>
      </c>
      <c r="C208" s="514">
        <v>0</v>
      </c>
      <c r="D208" s="514">
        <v>0</v>
      </c>
      <c r="E208" s="514">
        <v>0</v>
      </c>
      <c r="F208" s="514">
        <v>0</v>
      </c>
      <c r="G208" s="514">
        <v>0</v>
      </c>
      <c r="H208" s="514">
        <v>0</v>
      </c>
      <c r="I208" s="514">
        <v>0</v>
      </c>
      <c r="J208" s="514">
        <v>0</v>
      </c>
      <c r="K208" s="514">
        <v>0</v>
      </c>
      <c r="L208" s="514">
        <v>0</v>
      </c>
      <c r="M208" s="514">
        <v>0</v>
      </c>
      <c r="N208" s="514">
        <v>0</v>
      </c>
      <c r="O208" s="499"/>
      <c r="P208" s="499"/>
      <c r="Q208" s="499"/>
    </row>
    <row r="209" spans="1:17" ht="14.4" x14ac:dyDescent="0.3">
      <c r="A209" s="502">
        <v>1310192</v>
      </c>
      <c r="B209" s="503" t="s">
        <v>2019</v>
      </c>
      <c r="C209" s="514">
        <v>0</v>
      </c>
      <c r="D209" s="514">
        <v>0</v>
      </c>
      <c r="E209" s="514">
        <v>0</v>
      </c>
      <c r="F209" s="514">
        <v>0</v>
      </c>
      <c r="G209" s="514">
        <v>0</v>
      </c>
      <c r="H209" s="514">
        <v>0</v>
      </c>
      <c r="I209" s="514">
        <v>0</v>
      </c>
      <c r="J209" s="514">
        <v>0</v>
      </c>
      <c r="K209" s="514">
        <v>0</v>
      </c>
      <c r="L209" s="514">
        <v>0</v>
      </c>
      <c r="M209" s="514">
        <v>0</v>
      </c>
      <c r="N209" s="514">
        <v>0</v>
      </c>
      <c r="O209" s="499"/>
      <c r="P209" s="499"/>
      <c r="Q209" s="499"/>
    </row>
    <row r="210" spans="1:17" ht="14.4" x14ac:dyDescent="0.3">
      <c r="A210" s="502">
        <v>1310193</v>
      </c>
      <c r="B210" s="503" t="s">
        <v>2020</v>
      </c>
      <c r="C210" s="514">
        <v>0</v>
      </c>
      <c r="D210" s="514">
        <v>0</v>
      </c>
      <c r="E210" s="514">
        <v>0</v>
      </c>
      <c r="F210" s="514">
        <v>0</v>
      </c>
      <c r="G210" s="514">
        <v>0</v>
      </c>
      <c r="H210" s="514">
        <v>0</v>
      </c>
      <c r="I210" s="514">
        <v>0</v>
      </c>
      <c r="J210" s="514">
        <v>0</v>
      </c>
      <c r="K210" s="514">
        <v>0</v>
      </c>
      <c r="L210" s="514">
        <v>0</v>
      </c>
      <c r="M210" s="514">
        <v>0</v>
      </c>
      <c r="N210" s="514">
        <v>0</v>
      </c>
      <c r="O210" s="499"/>
      <c r="P210" s="499"/>
      <c r="Q210" s="499"/>
    </row>
    <row r="211" spans="1:17" ht="14.4" x14ac:dyDescent="0.3">
      <c r="A211" s="502">
        <v>1310194</v>
      </c>
      <c r="B211" s="503" t="s">
        <v>2021</v>
      </c>
      <c r="C211" s="514">
        <v>0</v>
      </c>
      <c r="D211" s="514">
        <v>0</v>
      </c>
      <c r="E211" s="514">
        <v>0</v>
      </c>
      <c r="F211" s="514">
        <v>0</v>
      </c>
      <c r="G211" s="514">
        <v>0</v>
      </c>
      <c r="H211" s="514">
        <v>0</v>
      </c>
      <c r="I211" s="514">
        <v>0</v>
      </c>
      <c r="J211" s="514">
        <v>0</v>
      </c>
      <c r="K211" s="514">
        <v>0</v>
      </c>
      <c r="L211" s="514">
        <v>0</v>
      </c>
      <c r="M211" s="514">
        <v>0</v>
      </c>
      <c r="N211" s="514">
        <v>0</v>
      </c>
      <c r="O211" s="499"/>
      <c r="P211" s="499"/>
      <c r="Q211" s="499"/>
    </row>
    <row r="212" spans="1:17" ht="14.4" x14ac:dyDescent="0.3">
      <c r="A212" s="502">
        <v>1310195</v>
      </c>
      <c r="B212" s="503" t="s">
        <v>2022</v>
      </c>
      <c r="C212" s="514">
        <v>0</v>
      </c>
      <c r="D212" s="514">
        <v>0</v>
      </c>
      <c r="E212" s="514">
        <v>0</v>
      </c>
      <c r="F212" s="514">
        <v>0</v>
      </c>
      <c r="G212" s="514">
        <v>0</v>
      </c>
      <c r="H212" s="514">
        <v>0</v>
      </c>
      <c r="I212" s="514">
        <v>0</v>
      </c>
      <c r="J212" s="514">
        <v>0</v>
      </c>
      <c r="K212" s="514">
        <v>0</v>
      </c>
      <c r="L212" s="514">
        <v>0</v>
      </c>
      <c r="M212" s="514">
        <v>0</v>
      </c>
      <c r="N212" s="514">
        <v>0</v>
      </c>
      <c r="O212" s="499"/>
      <c r="P212" s="499"/>
      <c r="Q212" s="499"/>
    </row>
    <row r="213" spans="1:17" ht="14.4" x14ac:dyDescent="0.3">
      <c r="A213" s="502">
        <v>1310196</v>
      </c>
      <c r="B213" s="503" t="s">
        <v>2023</v>
      </c>
      <c r="C213" s="514">
        <v>0</v>
      </c>
      <c r="D213" s="514">
        <v>0</v>
      </c>
      <c r="E213" s="514">
        <v>0</v>
      </c>
      <c r="F213" s="514">
        <v>0</v>
      </c>
      <c r="G213" s="514">
        <v>0</v>
      </c>
      <c r="H213" s="514">
        <v>0</v>
      </c>
      <c r="I213" s="514">
        <v>0</v>
      </c>
      <c r="J213" s="514">
        <v>0</v>
      </c>
      <c r="K213" s="514">
        <v>0</v>
      </c>
      <c r="L213" s="514">
        <v>0</v>
      </c>
      <c r="M213" s="514">
        <v>0</v>
      </c>
      <c r="N213" s="514">
        <v>0</v>
      </c>
      <c r="O213" s="499"/>
      <c r="P213" s="499"/>
      <c r="Q213" s="499"/>
    </row>
    <row r="214" spans="1:17" ht="14.4" x14ac:dyDescent="0.3">
      <c r="A214" s="502">
        <v>1310197</v>
      </c>
      <c r="B214" s="503" t="s">
        <v>2024</v>
      </c>
      <c r="C214" s="514">
        <v>0</v>
      </c>
      <c r="D214" s="514">
        <v>0</v>
      </c>
      <c r="E214" s="514">
        <v>0</v>
      </c>
      <c r="F214" s="514">
        <v>0</v>
      </c>
      <c r="G214" s="514">
        <v>0</v>
      </c>
      <c r="H214" s="514">
        <v>0</v>
      </c>
      <c r="I214" s="514">
        <v>0</v>
      </c>
      <c r="J214" s="514">
        <v>0</v>
      </c>
      <c r="K214" s="514">
        <v>0</v>
      </c>
      <c r="L214" s="514">
        <v>0</v>
      </c>
      <c r="M214" s="514">
        <v>0</v>
      </c>
      <c r="N214" s="514">
        <v>0</v>
      </c>
      <c r="O214" s="499"/>
      <c r="P214" s="499"/>
      <c r="Q214" s="499"/>
    </row>
    <row r="215" spans="1:17" ht="14.4" x14ac:dyDescent="0.3">
      <c r="A215" s="502">
        <v>1310198</v>
      </c>
      <c r="B215" s="503" t="s">
        <v>2025</v>
      </c>
      <c r="C215" s="514">
        <v>0</v>
      </c>
      <c r="D215" s="514">
        <v>0</v>
      </c>
      <c r="E215" s="514">
        <v>0</v>
      </c>
      <c r="F215" s="514">
        <v>0</v>
      </c>
      <c r="G215" s="514">
        <v>0</v>
      </c>
      <c r="H215" s="514">
        <v>0</v>
      </c>
      <c r="I215" s="514">
        <v>0</v>
      </c>
      <c r="J215" s="514">
        <v>0</v>
      </c>
      <c r="K215" s="514">
        <v>0</v>
      </c>
      <c r="L215" s="514">
        <v>0</v>
      </c>
      <c r="M215" s="514">
        <v>0</v>
      </c>
      <c r="N215" s="514">
        <v>0</v>
      </c>
      <c r="O215" s="499"/>
      <c r="P215" s="499"/>
      <c r="Q215" s="499"/>
    </row>
    <row r="216" spans="1:17" ht="14.4" x14ac:dyDescent="0.3">
      <c r="A216" s="502">
        <v>1310200</v>
      </c>
      <c r="B216" s="503" t="s">
        <v>2026</v>
      </c>
      <c r="C216" s="514">
        <v>0</v>
      </c>
      <c r="D216" s="514">
        <v>0</v>
      </c>
      <c r="E216" s="514">
        <v>0</v>
      </c>
      <c r="F216" s="514">
        <v>0</v>
      </c>
      <c r="G216" s="514">
        <v>0</v>
      </c>
      <c r="H216" s="514">
        <v>0</v>
      </c>
      <c r="I216" s="514">
        <v>0</v>
      </c>
      <c r="J216" s="514">
        <v>0</v>
      </c>
      <c r="K216" s="514">
        <v>0</v>
      </c>
      <c r="L216" s="514">
        <v>0</v>
      </c>
      <c r="M216" s="514">
        <v>0</v>
      </c>
      <c r="N216" s="514">
        <v>0</v>
      </c>
      <c r="O216" s="499"/>
      <c r="P216" s="499"/>
      <c r="Q216" s="499"/>
    </row>
    <row r="217" spans="1:17" ht="14.4" x14ac:dyDescent="0.3">
      <c r="A217" s="502">
        <v>1310201</v>
      </c>
      <c r="B217" s="503" t="s">
        <v>2027</v>
      </c>
      <c r="C217" s="514">
        <v>0</v>
      </c>
      <c r="D217" s="514">
        <v>0</v>
      </c>
      <c r="E217" s="514">
        <v>0</v>
      </c>
      <c r="F217" s="514">
        <v>0</v>
      </c>
      <c r="G217" s="514">
        <v>0</v>
      </c>
      <c r="H217" s="514">
        <v>0</v>
      </c>
      <c r="I217" s="514">
        <v>0</v>
      </c>
      <c r="J217" s="514">
        <v>0</v>
      </c>
      <c r="K217" s="514">
        <v>0</v>
      </c>
      <c r="L217" s="514">
        <v>0</v>
      </c>
      <c r="M217" s="514">
        <v>0</v>
      </c>
      <c r="N217" s="514">
        <v>0</v>
      </c>
      <c r="O217" s="499"/>
      <c r="P217" s="499"/>
      <c r="Q217" s="499"/>
    </row>
    <row r="218" spans="1:17" ht="14.4" x14ac:dyDescent="0.3">
      <c r="A218" s="502">
        <v>1310202</v>
      </c>
      <c r="B218" s="503" t="s">
        <v>2028</v>
      </c>
      <c r="C218" s="514">
        <v>0</v>
      </c>
      <c r="D218" s="514">
        <v>0</v>
      </c>
      <c r="E218" s="514">
        <v>0</v>
      </c>
      <c r="F218" s="514">
        <v>0</v>
      </c>
      <c r="G218" s="514">
        <v>0</v>
      </c>
      <c r="H218" s="514">
        <v>0</v>
      </c>
      <c r="I218" s="514">
        <v>0</v>
      </c>
      <c r="J218" s="514">
        <v>0</v>
      </c>
      <c r="K218" s="514">
        <v>0</v>
      </c>
      <c r="L218" s="514">
        <v>0</v>
      </c>
      <c r="M218" s="514">
        <v>0</v>
      </c>
      <c r="N218" s="514">
        <v>0</v>
      </c>
      <c r="O218" s="499"/>
      <c r="P218" s="499"/>
      <c r="Q218" s="499"/>
    </row>
    <row r="219" spans="1:17" ht="14.4" x14ac:dyDescent="0.3">
      <c r="A219" s="502">
        <v>1310203</v>
      </c>
      <c r="B219" s="503" t="s">
        <v>2029</v>
      </c>
      <c r="C219" s="514">
        <v>0</v>
      </c>
      <c r="D219" s="514">
        <v>0</v>
      </c>
      <c r="E219" s="514">
        <v>0</v>
      </c>
      <c r="F219" s="514">
        <v>0</v>
      </c>
      <c r="G219" s="514">
        <v>0</v>
      </c>
      <c r="H219" s="514">
        <v>0</v>
      </c>
      <c r="I219" s="514">
        <v>0</v>
      </c>
      <c r="J219" s="514">
        <v>0</v>
      </c>
      <c r="K219" s="514">
        <v>0</v>
      </c>
      <c r="L219" s="514">
        <v>0</v>
      </c>
      <c r="M219" s="514">
        <v>0</v>
      </c>
      <c r="N219" s="514">
        <v>0</v>
      </c>
      <c r="O219" s="499"/>
      <c r="P219" s="499"/>
      <c r="Q219" s="499"/>
    </row>
    <row r="220" spans="1:17" ht="14.4" x14ac:dyDescent="0.3">
      <c r="A220" s="502">
        <v>1310204</v>
      </c>
      <c r="B220" s="503" t="s">
        <v>2030</v>
      </c>
      <c r="C220" s="514">
        <v>0</v>
      </c>
      <c r="D220" s="514">
        <v>0</v>
      </c>
      <c r="E220" s="514">
        <v>0</v>
      </c>
      <c r="F220" s="514">
        <v>0</v>
      </c>
      <c r="G220" s="514">
        <v>0</v>
      </c>
      <c r="H220" s="514">
        <v>0</v>
      </c>
      <c r="I220" s="514">
        <v>0</v>
      </c>
      <c r="J220" s="514">
        <v>0</v>
      </c>
      <c r="K220" s="514">
        <v>0</v>
      </c>
      <c r="L220" s="514">
        <v>0</v>
      </c>
      <c r="M220" s="514">
        <v>0</v>
      </c>
      <c r="N220" s="514">
        <v>0</v>
      </c>
      <c r="O220" s="499"/>
      <c r="P220" s="499"/>
      <c r="Q220" s="499"/>
    </row>
    <row r="221" spans="1:17" ht="14.4" x14ac:dyDescent="0.3">
      <c r="A221" s="502">
        <v>1310205</v>
      </c>
      <c r="B221" s="503" t="s">
        <v>2031</v>
      </c>
      <c r="C221" s="514">
        <v>0</v>
      </c>
      <c r="D221" s="514">
        <v>0</v>
      </c>
      <c r="E221" s="514">
        <v>0</v>
      </c>
      <c r="F221" s="514">
        <v>0</v>
      </c>
      <c r="G221" s="514">
        <v>0</v>
      </c>
      <c r="H221" s="514">
        <v>0</v>
      </c>
      <c r="I221" s="514">
        <v>0</v>
      </c>
      <c r="J221" s="514">
        <v>0</v>
      </c>
      <c r="K221" s="514">
        <v>0</v>
      </c>
      <c r="L221" s="514">
        <v>0</v>
      </c>
      <c r="M221" s="514">
        <v>0</v>
      </c>
      <c r="N221" s="514">
        <v>0</v>
      </c>
      <c r="O221" s="499"/>
      <c r="P221" s="499"/>
      <c r="Q221" s="499"/>
    </row>
    <row r="222" spans="1:17" ht="14.4" x14ac:dyDescent="0.3">
      <c r="A222" s="502">
        <v>1310206</v>
      </c>
      <c r="B222" s="503" t="s">
        <v>2032</v>
      </c>
      <c r="C222" s="514">
        <v>0</v>
      </c>
      <c r="D222" s="514">
        <v>0</v>
      </c>
      <c r="E222" s="514">
        <v>0</v>
      </c>
      <c r="F222" s="514">
        <v>0</v>
      </c>
      <c r="G222" s="514">
        <v>0</v>
      </c>
      <c r="H222" s="514">
        <v>0</v>
      </c>
      <c r="I222" s="514">
        <v>0</v>
      </c>
      <c r="J222" s="514">
        <v>0</v>
      </c>
      <c r="K222" s="514">
        <v>0</v>
      </c>
      <c r="L222" s="514">
        <v>0</v>
      </c>
      <c r="M222" s="514">
        <v>0</v>
      </c>
      <c r="N222" s="514">
        <v>0</v>
      </c>
      <c r="O222" s="499"/>
      <c r="P222" s="499"/>
      <c r="Q222" s="499"/>
    </row>
    <row r="223" spans="1:17" ht="14.4" x14ac:dyDescent="0.3">
      <c r="A223" s="502">
        <v>1310207</v>
      </c>
      <c r="B223" s="503" t="s">
        <v>2033</v>
      </c>
      <c r="C223" s="514">
        <v>0</v>
      </c>
      <c r="D223" s="514">
        <v>0</v>
      </c>
      <c r="E223" s="514">
        <v>0</v>
      </c>
      <c r="F223" s="514">
        <v>0</v>
      </c>
      <c r="G223" s="514">
        <v>0</v>
      </c>
      <c r="H223" s="514">
        <v>0</v>
      </c>
      <c r="I223" s="514">
        <v>0</v>
      </c>
      <c r="J223" s="514">
        <v>0</v>
      </c>
      <c r="K223" s="514">
        <v>0</v>
      </c>
      <c r="L223" s="514">
        <v>0</v>
      </c>
      <c r="M223" s="514">
        <v>0</v>
      </c>
      <c r="N223" s="514">
        <v>0</v>
      </c>
      <c r="O223" s="499"/>
      <c r="P223" s="499"/>
      <c r="Q223" s="499"/>
    </row>
    <row r="224" spans="1:17" ht="14.4" x14ac:dyDescent="0.3">
      <c r="A224" s="502">
        <v>1310208</v>
      </c>
      <c r="B224" s="503" t="s">
        <v>2034</v>
      </c>
      <c r="C224" s="514">
        <v>0</v>
      </c>
      <c r="D224" s="514">
        <v>0</v>
      </c>
      <c r="E224" s="514">
        <v>0</v>
      </c>
      <c r="F224" s="514">
        <v>0</v>
      </c>
      <c r="G224" s="514">
        <v>0</v>
      </c>
      <c r="H224" s="514">
        <v>0</v>
      </c>
      <c r="I224" s="514">
        <v>0</v>
      </c>
      <c r="J224" s="514">
        <v>0</v>
      </c>
      <c r="K224" s="514">
        <v>0</v>
      </c>
      <c r="L224" s="514">
        <v>0</v>
      </c>
      <c r="M224" s="514">
        <v>0</v>
      </c>
      <c r="N224" s="514">
        <v>0</v>
      </c>
      <c r="O224" s="499"/>
      <c r="P224" s="499"/>
      <c r="Q224" s="499"/>
    </row>
    <row r="225" spans="1:17" ht="14.4" x14ac:dyDescent="0.3">
      <c r="A225" s="502">
        <v>1310210</v>
      </c>
      <c r="B225" s="503" t="s">
        <v>2035</v>
      </c>
      <c r="C225" s="514">
        <v>0</v>
      </c>
      <c r="D225" s="514">
        <v>0</v>
      </c>
      <c r="E225" s="514">
        <v>0</v>
      </c>
      <c r="F225" s="514">
        <v>0</v>
      </c>
      <c r="G225" s="514">
        <v>0</v>
      </c>
      <c r="H225" s="514">
        <v>0</v>
      </c>
      <c r="I225" s="514">
        <v>0</v>
      </c>
      <c r="J225" s="514">
        <v>0</v>
      </c>
      <c r="K225" s="514">
        <v>0</v>
      </c>
      <c r="L225" s="514">
        <v>0</v>
      </c>
      <c r="M225" s="514">
        <v>0</v>
      </c>
      <c r="N225" s="514">
        <v>0</v>
      </c>
      <c r="O225" s="499"/>
      <c r="P225" s="499"/>
      <c r="Q225" s="499"/>
    </row>
    <row r="226" spans="1:17" ht="14.4" x14ac:dyDescent="0.3">
      <c r="A226" s="502">
        <v>1310217</v>
      </c>
      <c r="B226" s="503" t="s">
        <v>2036</v>
      </c>
      <c r="C226" s="514">
        <v>0</v>
      </c>
      <c r="D226" s="514">
        <v>0</v>
      </c>
      <c r="E226" s="514">
        <v>0</v>
      </c>
      <c r="F226" s="514">
        <v>0</v>
      </c>
      <c r="G226" s="514">
        <v>0</v>
      </c>
      <c r="H226" s="514">
        <v>0</v>
      </c>
      <c r="I226" s="514">
        <v>0</v>
      </c>
      <c r="J226" s="514">
        <v>0</v>
      </c>
      <c r="K226" s="514">
        <v>0</v>
      </c>
      <c r="L226" s="514">
        <v>0</v>
      </c>
      <c r="M226" s="514">
        <v>0</v>
      </c>
      <c r="N226" s="514">
        <v>0</v>
      </c>
      <c r="O226" s="499"/>
      <c r="P226" s="499"/>
      <c r="Q226" s="499"/>
    </row>
    <row r="227" spans="1:17" ht="14.4" x14ac:dyDescent="0.3">
      <c r="A227" s="502">
        <v>1310220</v>
      </c>
      <c r="B227" s="503" t="s">
        <v>2037</v>
      </c>
      <c r="C227" s="514">
        <v>0</v>
      </c>
      <c r="D227" s="514">
        <v>0</v>
      </c>
      <c r="E227" s="514">
        <v>0</v>
      </c>
      <c r="F227" s="514">
        <v>0</v>
      </c>
      <c r="G227" s="514">
        <v>0</v>
      </c>
      <c r="H227" s="514">
        <v>0</v>
      </c>
      <c r="I227" s="514">
        <v>0</v>
      </c>
      <c r="J227" s="514">
        <v>0</v>
      </c>
      <c r="K227" s="514">
        <v>0</v>
      </c>
      <c r="L227" s="514">
        <v>0</v>
      </c>
      <c r="M227" s="514">
        <v>0</v>
      </c>
      <c r="N227" s="514">
        <v>0</v>
      </c>
      <c r="O227" s="499"/>
      <c r="P227" s="499"/>
      <c r="Q227" s="499"/>
    </row>
    <row r="228" spans="1:17" ht="14.4" x14ac:dyDescent="0.3">
      <c r="A228" s="502">
        <v>1310221</v>
      </c>
      <c r="B228" s="503" t="s">
        <v>2038</v>
      </c>
      <c r="C228" s="514">
        <v>0</v>
      </c>
      <c r="D228" s="514">
        <v>0</v>
      </c>
      <c r="E228" s="514">
        <v>0</v>
      </c>
      <c r="F228" s="514">
        <v>0</v>
      </c>
      <c r="G228" s="514">
        <v>0</v>
      </c>
      <c r="H228" s="514">
        <v>0</v>
      </c>
      <c r="I228" s="514">
        <v>0</v>
      </c>
      <c r="J228" s="514">
        <v>0</v>
      </c>
      <c r="K228" s="514">
        <v>0</v>
      </c>
      <c r="L228" s="514">
        <v>0</v>
      </c>
      <c r="M228" s="514">
        <v>0</v>
      </c>
      <c r="N228" s="514">
        <v>0</v>
      </c>
      <c r="O228" s="499"/>
      <c r="P228" s="499"/>
      <c r="Q228" s="499"/>
    </row>
    <row r="229" spans="1:17" ht="14.4" x14ac:dyDescent="0.3">
      <c r="A229" s="502">
        <v>1310222</v>
      </c>
      <c r="B229" s="503" t="s">
        <v>2039</v>
      </c>
      <c r="C229" s="514">
        <v>0</v>
      </c>
      <c r="D229" s="514">
        <v>0</v>
      </c>
      <c r="E229" s="514">
        <v>0</v>
      </c>
      <c r="F229" s="514">
        <v>0</v>
      </c>
      <c r="G229" s="514">
        <v>0</v>
      </c>
      <c r="H229" s="514">
        <v>0</v>
      </c>
      <c r="I229" s="514">
        <v>0</v>
      </c>
      <c r="J229" s="514">
        <v>0</v>
      </c>
      <c r="K229" s="514">
        <v>0</v>
      </c>
      <c r="L229" s="514">
        <v>0</v>
      </c>
      <c r="M229" s="514">
        <v>0</v>
      </c>
      <c r="N229" s="514">
        <v>0</v>
      </c>
      <c r="O229" s="499"/>
      <c r="P229" s="499"/>
      <c r="Q229" s="499"/>
    </row>
    <row r="230" spans="1:17" ht="14.4" x14ac:dyDescent="0.3">
      <c r="A230" s="502">
        <v>1310223</v>
      </c>
      <c r="B230" s="503" t="s">
        <v>2040</v>
      </c>
      <c r="C230" s="514">
        <v>0</v>
      </c>
      <c r="D230" s="514">
        <v>0</v>
      </c>
      <c r="E230" s="514">
        <v>0</v>
      </c>
      <c r="F230" s="514">
        <v>0</v>
      </c>
      <c r="G230" s="514">
        <v>0</v>
      </c>
      <c r="H230" s="514">
        <v>0</v>
      </c>
      <c r="I230" s="514">
        <v>0</v>
      </c>
      <c r="J230" s="514">
        <v>0</v>
      </c>
      <c r="K230" s="514">
        <v>0</v>
      </c>
      <c r="L230" s="514">
        <v>0</v>
      </c>
      <c r="M230" s="514">
        <v>0</v>
      </c>
      <c r="N230" s="514">
        <v>0</v>
      </c>
      <c r="O230" s="499"/>
      <c r="P230" s="499"/>
      <c r="Q230" s="499"/>
    </row>
    <row r="231" spans="1:17" ht="14.4" x14ac:dyDescent="0.3">
      <c r="A231" s="502">
        <v>1310224</v>
      </c>
      <c r="B231" s="503" t="s">
        <v>2041</v>
      </c>
      <c r="C231" s="514">
        <v>0</v>
      </c>
      <c r="D231" s="514">
        <v>0</v>
      </c>
      <c r="E231" s="514">
        <v>0</v>
      </c>
      <c r="F231" s="514">
        <v>0</v>
      </c>
      <c r="G231" s="514">
        <v>0</v>
      </c>
      <c r="H231" s="514">
        <v>0</v>
      </c>
      <c r="I231" s="514">
        <v>0</v>
      </c>
      <c r="J231" s="514">
        <v>0</v>
      </c>
      <c r="K231" s="514">
        <v>0</v>
      </c>
      <c r="L231" s="514">
        <v>0</v>
      </c>
      <c r="M231" s="514">
        <v>0</v>
      </c>
      <c r="N231" s="514">
        <v>0</v>
      </c>
      <c r="O231" s="499"/>
      <c r="P231" s="499"/>
      <c r="Q231" s="499"/>
    </row>
    <row r="232" spans="1:17" ht="14.4" x14ac:dyDescent="0.3">
      <c r="A232" s="502">
        <v>1310225</v>
      </c>
      <c r="B232" s="503" t="s">
        <v>2042</v>
      </c>
      <c r="C232" s="514">
        <v>0</v>
      </c>
      <c r="D232" s="514">
        <v>0</v>
      </c>
      <c r="E232" s="514">
        <v>0</v>
      </c>
      <c r="F232" s="514">
        <v>0</v>
      </c>
      <c r="G232" s="514">
        <v>0</v>
      </c>
      <c r="H232" s="514">
        <v>0</v>
      </c>
      <c r="I232" s="514">
        <v>0</v>
      </c>
      <c r="J232" s="514">
        <v>0</v>
      </c>
      <c r="K232" s="514">
        <v>0</v>
      </c>
      <c r="L232" s="514">
        <v>0</v>
      </c>
      <c r="M232" s="514">
        <v>0</v>
      </c>
      <c r="N232" s="514">
        <v>0</v>
      </c>
      <c r="O232" s="499"/>
      <c r="P232" s="499"/>
      <c r="Q232" s="499"/>
    </row>
    <row r="233" spans="1:17" ht="14.4" x14ac:dyDescent="0.3">
      <c r="A233" s="502">
        <v>1310226</v>
      </c>
      <c r="B233" s="503" t="s">
        <v>2043</v>
      </c>
      <c r="C233" s="514">
        <v>0</v>
      </c>
      <c r="D233" s="514">
        <v>0</v>
      </c>
      <c r="E233" s="514">
        <v>0</v>
      </c>
      <c r="F233" s="514">
        <v>0</v>
      </c>
      <c r="G233" s="514">
        <v>0</v>
      </c>
      <c r="H233" s="514">
        <v>0</v>
      </c>
      <c r="I233" s="514">
        <v>0</v>
      </c>
      <c r="J233" s="514">
        <v>0</v>
      </c>
      <c r="K233" s="514">
        <v>0</v>
      </c>
      <c r="L233" s="514">
        <v>0</v>
      </c>
      <c r="M233" s="514">
        <v>0</v>
      </c>
      <c r="N233" s="514">
        <v>0</v>
      </c>
      <c r="O233" s="499"/>
      <c r="P233" s="499"/>
      <c r="Q233" s="499"/>
    </row>
    <row r="234" spans="1:17" ht="14.4" x14ac:dyDescent="0.3">
      <c r="A234" s="502">
        <v>1310227</v>
      </c>
      <c r="B234" s="503" t="s">
        <v>2044</v>
      </c>
      <c r="C234" s="514">
        <v>0</v>
      </c>
      <c r="D234" s="514">
        <v>0</v>
      </c>
      <c r="E234" s="514">
        <v>0</v>
      </c>
      <c r="F234" s="514">
        <v>0</v>
      </c>
      <c r="G234" s="514">
        <v>0</v>
      </c>
      <c r="H234" s="514">
        <v>0</v>
      </c>
      <c r="I234" s="514">
        <v>0</v>
      </c>
      <c r="J234" s="514">
        <v>0</v>
      </c>
      <c r="K234" s="514">
        <v>0</v>
      </c>
      <c r="L234" s="514">
        <v>0</v>
      </c>
      <c r="M234" s="514">
        <v>0</v>
      </c>
      <c r="N234" s="514">
        <v>0</v>
      </c>
      <c r="O234" s="499"/>
      <c r="P234" s="499"/>
      <c r="Q234" s="499"/>
    </row>
    <row r="235" spans="1:17" ht="14.4" x14ac:dyDescent="0.3">
      <c r="A235" s="502">
        <v>1310228</v>
      </c>
      <c r="B235" s="503" t="s">
        <v>2045</v>
      </c>
      <c r="C235" s="514">
        <v>0</v>
      </c>
      <c r="D235" s="514">
        <v>0</v>
      </c>
      <c r="E235" s="514">
        <v>0</v>
      </c>
      <c r="F235" s="514">
        <v>0</v>
      </c>
      <c r="G235" s="514">
        <v>0</v>
      </c>
      <c r="H235" s="514">
        <v>0</v>
      </c>
      <c r="I235" s="514">
        <v>0</v>
      </c>
      <c r="J235" s="514">
        <v>0</v>
      </c>
      <c r="K235" s="514">
        <v>0</v>
      </c>
      <c r="L235" s="514">
        <v>0</v>
      </c>
      <c r="M235" s="514">
        <v>0</v>
      </c>
      <c r="N235" s="514">
        <v>0</v>
      </c>
      <c r="O235" s="499"/>
      <c r="P235" s="499"/>
      <c r="Q235" s="499"/>
    </row>
    <row r="236" spans="1:17" ht="14.4" x14ac:dyDescent="0.3">
      <c r="A236" s="502">
        <v>1310230</v>
      </c>
      <c r="B236" s="503" t="s">
        <v>2046</v>
      </c>
      <c r="C236" s="514">
        <v>0</v>
      </c>
      <c r="D236" s="514">
        <v>0</v>
      </c>
      <c r="E236" s="514">
        <v>0</v>
      </c>
      <c r="F236" s="514">
        <v>0</v>
      </c>
      <c r="G236" s="514">
        <v>0</v>
      </c>
      <c r="H236" s="514">
        <v>0</v>
      </c>
      <c r="I236" s="514">
        <v>0</v>
      </c>
      <c r="J236" s="514">
        <v>0</v>
      </c>
      <c r="K236" s="514">
        <v>0</v>
      </c>
      <c r="L236" s="514">
        <v>0</v>
      </c>
      <c r="M236" s="514">
        <v>0</v>
      </c>
      <c r="N236" s="514">
        <v>0</v>
      </c>
      <c r="O236" s="499"/>
      <c r="P236" s="499"/>
      <c r="Q236" s="499"/>
    </row>
    <row r="237" spans="1:17" ht="14.4" x14ac:dyDescent="0.3">
      <c r="A237" s="502">
        <v>1310237</v>
      </c>
      <c r="B237" s="503" t="s">
        <v>2047</v>
      </c>
      <c r="C237" s="514">
        <v>0</v>
      </c>
      <c r="D237" s="514">
        <v>0</v>
      </c>
      <c r="E237" s="514">
        <v>0</v>
      </c>
      <c r="F237" s="514">
        <v>0</v>
      </c>
      <c r="G237" s="514">
        <v>0</v>
      </c>
      <c r="H237" s="514">
        <v>0</v>
      </c>
      <c r="I237" s="514">
        <v>0</v>
      </c>
      <c r="J237" s="514">
        <v>0</v>
      </c>
      <c r="K237" s="514">
        <v>0</v>
      </c>
      <c r="L237" s="514">
        <v>0</v>
      </c>
      <c r="M237" s="514">
        <v>0</v>
      </c>
      <c r="N237" s="514">
        <v>0</v>
      </c>
      <c r="O237" s="499"/>
      <c r="P237" s="499"/>
      <c r="Q237" s="499"/>
    </row>
    <row r="238" spans="1:17" ht="14.4" x14ac:dyDescent="0.3">
      <c r="A238" s="502">
        <v>1310240</v>
      </c>
      <c r="B238" s="503" t="s">
        <v>2048</v>
      </c>
      <c r="C238" s="514">
        <v>0</v>
      </c>
      <c r="D238" s="514">
        <v>0</v>
      </c>
      <c r="E238" s="514">
        <v>0</v>
      </c>
      <c r="F238" s="514">
        <v>0</v>
      </c>
      <c r="G238" s="514">
        <v>0</v>
      </c>
      <c r="H238" s="514">
        <v>0</v>
      </c>
      <c r="I238" s="514">
        <v>0</v>
      </c>
      <c r="J238" s="514">
        <v>0</v>
      </c>
      <c r="K238" s="514">
        <v>0</v>
      </c>
      <c r="L238" s="514">
        <v>0</v>
      </c>
      <c r="M238" s="514">
        <v>0</v>
      </c>
      <c r="N238" s="514">
        <v>0</v>
      </c>
      <c r="O238" s="499"/>
      <c r="P238" s="499"/>
      <c r="Q238" s="499"/>
    </row>
    <row r="239" spans="1:17" ht="14.4" x14ac:dyDescent="0.3">
      <c r="A239" s="502">
        <v>1310241</v>
      </c>
      <c r="B239" s="503" t="s">
        <v>2049</v>
      </c>
      <c r="C239" s="514">
        <v>0</v>
      </c>
      <c r="D239" s="514">
        <v>0</v>
      </c>
      <c r="E239" s="514">
        <v>0</v>
      </c>
      <c r="F239" s="514">
        <v>0</v>
      </c>
      <c r="G239" s="514">
        <v>0</v>
      </c>
      <c r="H239" s="514">
        <v>0</v>
      </c>
      <c r="I239" s="514">
        <v>0</v>
      </c>
      <c r="J239" s="514">
        <v>0</v>
      </c>
      <c r="K239" s="514">
        <v>0</v>
      </c>
      <c r="L239" s="514">
        <v>0</v>
      </c>
      <c r="M239" s="514">
        <v>0</v>
      </c>
      <c r="N239" s="514">
        <v>0</v>
      </c>
      <c r="O239" s="499"/>
      <c r="P239" s="499"/>
      <c r="Q239" s="499"/>
    </row>
    <row r="240" spans="1:17" ht="14.4" x14ac:dyDescent="0.3">
      <c r="A240" s="502">
        <v>1310242</v>
      </c>
      <c r="B240" s="503" t="s">
        <v>2050</v>
      </c>
      <c r="C240" s="514">
        <v>0</v>
      </c>
      <c r="D240" s="514">
        <v>0</v>
      </c>
      <c r="E240" s="514">
        <v>0</v>
      </c>
      <c r="F240" s="514">
        <v>0</v>
      </c>
      <c r="G240" s="514">
        <v>0</v>
      </c>
      <c r="H240" s="514">
        <v>0</v>
      </c>
      <c r="I240" s="514">
        <v>0</v>
      </c>
      <c r="J240" s="514">
        <v>0</v>
      </c>
      <c r="K240" s="514">
        <v>0</v>
      </c>
      <c r="L240" s="514">
        <v>0</v>
      </c>
      <c r="M240" s="514">
        <v>0</v>
      </c>
      <c r="N240" s="514">
        <v>0</v>
      </c>
      <c r="O240" s="499"/>
      <c r="P240" s="499"/>
      <c r="Q240" s="499"/>
    </row>
    <row r="241" spans="1:17" ht="14.4" x14ac:dyDescent="0.3">
      <c r="A241" s="502">
        <v>1310243</v>
      </c>
      <c r="B241" s="503" t="s">
        <v>2051</v>
      </c>
      <c r="C241" s="514">
        <v>0</v>
      </c>
      <c r="D241" s="514">
        <v>0</v>
      </c>
      <c r="E241" s="514">
        <v>0</v>
      </c>
      <c r="F241" s="514">
        <v>0</v>
      </c>
      <c r="G241" s="514">
        <v>0</v>
      </c>
      <c r="H241" s="514">
        <v>0</v>
      </c>
      <c r="I241" s="514">
        <v>0</v>
      </c>
      <c r="J241" s="514">
        <v>0</v>
      </c>
      <c r="K241" s="514">
        <v>0</v>
      </c>
      <c r="L241" s="514">
        <v>0</v>
      </c>
      <c r="M241" s="514">
        <v>0</v>
      </c>
      <c r="N241" s="514">
        <v>0</v>
      </c>
      <c r="O241" s="499"/>
      <c r="P241" s="499"/>
      <c r="Q241" s="499"/>
    </row>
    <row r="242" spans="1:17" ht="14.4" x14ac:dyDescent="0.3">
      <c r="A242" s="502">
        <v>1310244</v>
      </c>
      <c r="B242" s="503" t="s">
        <v>2052</v>
      </c>
      <c r="C242" s="514">
        <v>0</v>
      </c>
      <c r="D242" s="514">
        <v>0</v>
      </c>
      <c r="E242" s="514">
        <v>0</v>
      </c>
      <c r="F242" s="514">
        <v>0</v>
      </c>
      <c r="G242" s="514">
        <v>0</v>
      </c>
      <c r="H242" s="514">
        <v>0</v>
      </c>
      <c r="I242" s="514">
        <v>0</v>
      </c>
      <c r="J242" s="514">
        <v>0</v>
      </c>
      <c r="K242" s="514">
        <v>0</v>
      </c>
      <c r="L242" s="514">
        <v>0</v>
      </c>
      <c r="M242" s="514">
        <v>0</v>
      </c>
      <c r="N242" s="514">
        <v>0</v>
      </c>
      <c r="O242" s="499"/>
      <c r="P242" s="499"/>
      <c r="Q242" s="499"/>
    </row>
    <row r="243" spans="1:17" ht="14.4" x14ac:dyDescent="0.3">
      <c r="A243" s="502">
        <v>1310245</v>
      </c>
      <c r="B243" s="503" t="s">
        <v>2053</v>
      </c>
      <c r="C243" s="514">
        <v>0</v>
      </c>
      <c r="D243" s="514">
        <v>0</v>
      </c>
      <c r="E243" s="514">
        <v>0</v>
      </c>
      <c r="F243" s="514">
        <v>0</v>
      </c>
      <c r="G243" s="514">
        <v>0</v>
      </c>
      <c r="H243" s="514">
        <v>0</v>
      </c>
      <c r="I243" s="514">
        <v>0</v>
      </c>
      <c r="J243" s="514">
        <v>0</v>
      </c>
      <c r="K243" s="514">
        <v>0</v>
      </c>
      <c r="L243" s="514">
        <v>0</v>
      </c>
      <c r="M243" s="514">
        <v>0</v>
      </c>
      <c r="N243" s="514">
        <v>0</v>
      </c>
      <c r="O243" s="499"/>
      <c r="P243" s="499"/>
      <c r="Q243" s="499"/>
    </row>
    <row r="244" spans="1:17" ht="14.4" x14ac:dyDescent="0.3">
      <c r="A244" s="502">
        <v>1310246</v>
      </c>
      <c r="B244" s="503" t="s">
        <v>2054</v>
      </c>
      <c r="C244" s="514">
        <v>0</v>
      </c>
      <c r="D244" s="514">
        <v>0</v>
      </c>
      <c r="E244" s="514">
        <v>0</v>
      </c>
      <c r="F244" s="514">
        <v>0</v>
      </c>
      <c r="G244" s="514">
        <v>0</v>
      </c>
      <c r="H244" s="514">
        <v>0</v>
      </c>
      <c r="I244" s="514">
        <v>0</v>
      </c>
      <c r="J244" s="514">
        <v>0</v>
      </c>
      <c r="K244" s="514">
        <v>0</v>
      </c>
      <c r="L244" s="514">
        <v>0</v>
      </c>
      <c r="M244" s="514">
        <v>0</v>
      </c>
      <c r="N244" s="514">
        <v>0</v>
      </c>
      <c r="O244" s="499"/>
      <c r="P244" s="499"/>
      <c r="Q244" s="499"/>
    </row>
    <row r="245" spans="1:17" ht="14.4" x14ac:dyDescent="0.3">
      <c r="A245" s="502">
        <v>1310247</v>
      </c>
      <c r="B245" s="503" t="s">
        <v>2055</v>
      </c>
      <c r="C245" s="514">
        <v>0</v>
      </c>
      <c r="D245" s="514">
        <v>0</v>
      </c>
      <c r="E245" s="514">
        <v>0</v>
      </c>
      <c r="F245" s="514">
        <v>0</v>
      </c>
      <c r="G245" s="514">
        <v>0</v>
      </c>
      <c r="H245" s="514">
        <v>0</v>
      </c>
      <c r="I245" s="514">
        <v>0</v>
      </c>
      <c r="J245" s="514">
        <v>0</v>
      </c>
      <c r="K245" s="514">
        <v>0</v>
      </c>
      <c r="L245" s="514">
        <v>0</v>
      </c>
      <c r="M245" s="514">
        <v>0</v>
      </c>
      <c r="N245" s="514">
        <v>0</v>
      </c>
      <c r="O245" s="499"/>
      <c r="P245" s="499"/>
      <c r="Q245" s="499"/>
    </row>
    <row r="246" spans="1:17" ht="14.4" x14ac:dyDescent="0.3">
      <c r="A246" s="502">
        <v>1310248</v>
      </c>
      <c r="B246" s="503" t="s">
        <v>2056</v>
      </c>
      <c r="C246" s="514">
        <v>0</v>
      </c>
      <c r="D246" s="514">
        <v>0</v>
      </c>
      <c r="E246" s="514">
        <v>0</v>
      </c>
      <c r="F246" s="514">
        <v>0</v>
      </c>
      <c r="G246" s="514">
        <v>0</v>
      </c>
      <c r="H246" s="514">
        <v>0</v>
      </c>
      <c r="I246" s="514">
        <v>0</v>
      </c>
      <c r="J246" s="514">
        <v>0</v>
      </c>
      <c r="K246" s="514">
        <v>0</v>
      </c>
      <c r="L246" s="514">
        <v>0</v>
      </c>
      <c r="M246" s="514">
        <v>0</v>
      </c>
      <c r="N246" s="514">
        <v>0</v>
      </c>
      <c r="O246" s="499"/>
      <c r="P246" s="499"/>
      <c r="Q246" s="499"/>
    </row>
    <row r="247" spans="1:17" ht="14.4" x14ac:dyDescent="0.3">
      <c r="A247" s="502">
        <v>1310250</v>
      </c>
      <c r="B247" s="503" t="s">
        <v>2057</v>
      </c>
      <c r="C247" s="514">
        <v>0</v>
      </c>
      <c r="D247" s="514">
        <v>0</v>
      </c>
      <c r="E247" s="514">
        <v>0</v>
      </c>
      <c r="F247" s="514">
        <v>0</v>
      </c>
      <c r="G247" s="514">
        <v>0</v>
      </c>
      <c r="H247" s="514">
        <v>0</v>
      </c>
      <c r="I247" s="514">
        <v>0</v>
      </c>
      <c r="J247" s="514">
        <v>0</v>
      </c>
      <c r="K247" s="514">
        <v>0</v>
      </c>
      <c r="L247" s="514">
        <v>0</v>
      </c>
      <c r="M247" s="514">
        <v>0</v>
      </c>
      <c r="N247" s="514">
        <v>0</v>
      </c>
      <c r="O247" s="499"/>
      <c r="P247" s="499"/>
      <c r="Q247" s="499"/>
    </row>
    <row r="248" spans="1:17" ht="14.4" x14ac:dyDescent="0.3">
      <c r="A248" s="502">
        <v>1310260</v>
      </c>
      <c r="B248" s="503" t="s">
        <v>2058</v>
      </c>
      <c r="C248" s="514">
        <v>0</v>
      </c>
      <c r="D248" s="514">
        <v>0</v>
      </c>
      <c r="E248" s="514">
        <v>0</v>
      </c>
      <c r="F248" s="514">
        <v>0</v>
      </c>
      <c r="G248" s="514">
        <v>0</v>
      </c>
      <c r="H248" s="514">
        <v>0</v>
      </c>
      <c r="I248" s="514">
        <v>0</v>
      </c>
      <c r="J248" s="514">
        <v>0</v>
      </c>
      <c r="K248" s="514">
        <v>0</v>
      </c>
      <c r="L248" s="514">
        <v>0</v>
      </c>
      <c r="M248" s="514">
        <v>0</v>
      </c>
      <c r="N248" s="514">
        <v>0</v>
      </c>
      <c r="O248" s="499"/>
      <c r="P248" s="499"/>
      <c r="Q248" s="499"/>
    </row>
    <row r="249" spans="1:17" ht="14.4" x14ac:dyDescent="0.3">
      <c r="A249" s="502">
        <v>1310270</v>
      </c>
      <c r="B249" s="503" t="s">
        <v>2059</v>
      </c>
      <c r="C249" s="514">
        <v>0</v>
      </c>
      <c r="D249" s="514">
        <v>0</v>
      </c>
      <c r="E249" s="514">
        <v>0</v>
      </c>
      <c r="F249" s="514">
        <v>0</v>
      </c>
      <c r="G249" s="514">
        <v>0</v>
      </c>
      <c r="H249" s="514">
        <v>0</v>
      </c>
      <c r="I249" s="514">
        <v>0</v>
      </c>
      <c r="J249" s="514">
        <v>0</v>
      </c>
      <c r="K249" s="514">
        <v>0</v>
      </c>
      <c r="L249" s="514">
        <v>0</v>
      </c>
      <c r="M249" s="514">
        <v>0</v>
      </c>
      <c r="N249" s="514">
        <v>0</v>
      </c>
      <c r="O249" s="499"/>
      <c r="P249" s="499"/>
      <c r="Q249" s="499"/>
    </row>
    <row r="250" spans="1:17" ht="14.4" x14ac:dyDescent="0.3">
      <c r="A250" s="502">
        <v>1310271</v>
      </c>
      <c r="B250" s="503" t="s">
        <v>2060</v>
      </c>
      <c r="C250" s="514">
        <v>0</v>
      </c>
      <c r="D250" s="514">
        <v>0</v>
      </c>
      <c r="E250" s="514">
        <v>0</v>
      </c>
      <c r="F250" s="514">
        <v>0</v>
      </c>
      <c r="G250" s="514">
        <v>0</v>
      </c>
      <c r="H250" s="514">
        <v>0</v>
      </c>
      <c r="I250" s="514">
        <v>0</v>
      </c>
      <c r="J250" s="514">
        <v>0</v>
      </c>
      <c r="K250" s="514">
        <v>0</v>
      </c>
      <c r="L250" s="514">
        <v>0</v>
      </c>
      <c r="M250" s="514">
        <v>0</v>
      </c>
      <c r="N250" s="514">
        <v>0</v>
      </c>
      <c r="O250" s="499"/>
      <c r="P250" s="499"/>
      <c r="Q250" s="499"/>
    </row>
    <row r="251" spans="1:17" ht="14.4" x14ac:dyDescent="0.3">
      <c r="A251" s="502">
        <v>1310272</v>
      </c>
      <c r="B251" s="503" t="s">
        <v>2061</v>
      </c>
      <c r="C251" s="514">
        <v>0</v>
      </c>
      <c r="D251" s="514">
        <v>0</v>
      </c>
      <c r="E251" s="514">
        <v>0</v>
      </c>
      <c r="F251" s="514">
        <v>0</v>
      </c>
      <c r="G251" s="514">
        <v>0</v>
      </c>
      <c r="H251" s="514">
        <v>0</v>
      </c>
      <c r="I251" s="514">
        <v>0</v>
      </c>
      <c r="J251" s="514">
        <v>0</v>
      </c>
      <c r="K251" s="514">
        <v>0</v>
      </c>
      <c r="L251" s="514">
        <v>0</v>
      </c>
      <c r="M251" s="514">
        <v>0</v>
      </c>
      <c r="N251" s="514">
        <v>0</v>
      </c>
      <c r="O251" s="499"/>
      <c r="P251" s="499"/>
      <c r="Q251" s="499"/>
    </row>
    <row r="252" spans="1:17" ht="14.4" x14ac:dyDescent="0.3">
      <c r="A252" s="502">
        <v>1310273</v>
      </c>
      <c r="B252" s="503" t="s">
        <v>2062</v>
      </c>
      <c r="C252" s="514">
        <v>0</v>
      </c>
      <c r="D252" s="514">
        <v>0</v>
      </c>
      <c r="E252" s="514">
        <v>0</v>
      </c>
      <c r="F252" s="514">
        <v>0</v>
      </c>
      <c r="G252" s="514">
        <v>0</v>
      </c>
      <c r="H252" s="514">
        <v>0</v>
      </c>
      <c r="I252" s="514">
        <v>0</v>
      </c>
      <c r="J252" s="514">
        <v>0</v>
      </c>
      <c r="K252" s="514">
        <v>0</v>
      </c>
      <c r="L252" s="514">
        <v>0</v>
      </c>
      <c r="M252" s="514">
        <v>0</v>
      </c>
      <c r="N252" s="514">
        <v>0</v>
      </c>
      <c r="O252" s="499"/>
      <c r="P252" s="499"/>
      <c r="Q252" s="499"/>
    </row>
    <row r="253" spans="1:17" ht="14.4" x14ac:dyDescent="0.3">
      <c r="A253" s="502">
        <v>1310274</v>
      </c>
      <c r="B253" s="503" t="s">
        <v>2063</v>
      </c>
      <c r="C253" s="514">
        <v>0</v>
      </c>
      <c r="D253" s="514">
        <v>0</v>
      </c>
      <c r="E253" s="514">
        <v>0</v>
      </c>
      <c r="F253" s="514">
        <v>0</v>
      </c>
      <c r="G253" s="514">
        <v>0</v>
      </c>
      <c r="H253" s="514">
        <v>0</v>
      </c>
      <c r="I253" s="514">
        <v>0</v>
      </c>
      <c r="J253" s="514">
        <v>0</v>
      </c>
      <c r="K253" s="514">
        <v>0</v>
      </c>
      <c r="L253" s="514">
        <v>0</v>
      </c>
      <c r="M253" s="514">
        <v>0</v>
      </c>
      <c r="N253" s="514">
        <v>0</v>
      </c>
      <c r="O253" s="499"/>
      <c r="P253" s="499"/>
      <c r="Q253" s="499"/>
    </row>
    <row r="254" spans="1:17" ht="14.4" x14ac:dyDescent="0.3">
      <c r="A254" s="502">
        <v>1310275</v>
      </c>
      <c r="B254" s="503" t="s">
        <v>2064</v>
      </c>
      <c r="C254" s="514">
        <v>0</v>
      </c>
      <c r="D254" s="514">
        <v>0</v>
      </c>
      <c r="E254" s="514">
        <v>0</v>
      </c>
      <c r="F254" s="514">
        <v>0</v>
      </c>
      <c r="G254" s="514">
        <v>0</v>
      </c>
      <c r="H254" s="514">
        <v>0</v>
      </c>
      <c r="I254" s="514">
        <v>0</v>
      </c>
      <c r="J254" s="514">
        <v>0</v>
      </c>
      <c r="K254" s="514">
        <v>0</v>
      </c>
      <c r="L254" s="514">
        <v>0</v>
      </c>
      <c r="M254" s="514">
        <v>0</v>
      </c>
      <c r="N254" s="514">
        <v>0</v>
      </c>
      <c r="O254" s="499"/>
      <c r="P254" s="499"/>
      <c r="Q254" s="499"/>
    </row>
    <row r="255" spans="1:17" ht="14.4" x14ac:dyDescent="0.3">
      <c r="A255" s="502">
        <v>1310276</v>
      </c>
      <c r="B255" s="503" t="s">
        <v>2065</v>
      </c>
      <c r="C255" s="514">
        <v>0</v>
      </c>
      <c r="D255" s="514">
        <v>0</v>
      </c>
      <c r="E255" s="514">
        <v>0</v>
      </c>
      <c r="F255" s="514">
        <v>0</v>
      </c>
      <c r="G255" s="514">
        <v>0</v>
      </c>
      <c r="H255" s="514">
        <v>0</v>
      </c>
      <c r="I255" s="514">
        <v>0</v>
      </c>
      <c r="J255" s="514">
        <v>0</v>
      </c>
      <c r="K255" s="514">
        <v>0</v>
      </c>
      <c r="L255" s="514">
        <v>0</v>
      </c>
      <c r="M255" s="514">
        <v>0</v>
      </c>
      <c r="N255" s="514">
        <v>0</v>
      </c>
      <c r="O255" s="499"/>
      <c r="P255" s="499"/>
      <c r="Q255" s="499"/>
    </row>
    <row r="256" spans="1:17" ht="14.4" x14ac:dyDescent="0.3">
      <c r="A256" s="502">
        <v>1310277</v>
      </c>
      <c r="B256" s="503" t="s">
        <v>2066</v>
      </c>
      <c r="C256" s="514">
        <v>0</v>
      </c>
      <c r="D256" s="514">
        <v>0</v>
      </c>
      <c r="E256" s="514">
        <v>0</v>
      </c>
      <c r="F256" s="514">
        <v>0</v>
      </c>
      <c r="G256" s="514">
        <v>0</v>
      </c>
      <c r="H256" s="514">
        <v>0</v>
      </c>
      <c r="I256" s="514">
        <v>0</v>
      </c>
      <c r="J256" s="514">
        <v>0</v>
      </c>
      <c r="K256" s="514">
        <v>0</v>
      </c>
      <c r="L256" s="514">
        <v>0</v>
      </c>
      <c r="M256" s="514">
        <v>0</v>
      </c>
      <c r="N256" s="514">
        <v>0</v>
      </c>
      <c r="O256" s="499"/>
      <c r="P256" s="499"/>
      <c r="Q256" s="499"/>
    </row>
    <row r="257" spans="1:17" ht="14.4" x14ac:dyDescent="0.3">
      <c r="A257" s="502">
        <v>1310278</v>
      </c>
      <c r="B257" s="503" t="s">
        <v>2067</v>
      </c>
      <c r="C257" s="514">
        <v>0</v>
      </c>
      <c r="D257" s="514">
        <v>0</v>
      </c>
      <c r="E257" s="514">
        <v>0</v>
      </c>
      <c r="F257" s="514">
        <v>0</v>
      </c>
      <c r="G257" s="514">
        <v>0</v>
      </c>
      <c r="H257" s="514">
        <v>0</v>
      </c>
      <c r="I257" s="514">
        <v>0</v>
      </c>
      <c r="J257" s="514">
        <v>0</v>
      </c>
      <c r="K257" s="514">
        <v>0</v>
      </c>
      <c r="L257" s="514">
        <v>0</v>
      </c>
      <c r="M257" s="514">
        <v>0</v>
      </c>
      <c r="N257" s="514">
        <v>0</v>
      </c>
      <c r="O257" s="499"/>
      <c r="P257" s="499"/>
      <c r="Q257" s="499"/>
    </row>
    <row r="258" spans="1:17" ht="14.4" x14ac:dyDescent="0.3">
      <c r="A258" s="502">
        <v>1310280</v>
      </c>
      <c r="B258" s="503" t="s">
        <v>2068</v>
      </c>
      <c r="C258" s="514">
        <v>0</v>
      </c>
      <c r="D258" s="514">
        <v>0</v>
      </c>
      <c r="E258" s="514">
        <v>0</v>
      </c>
      <c r="F258" s="514">
        <v>0</v>
      </c>
      <c r="G258" s="514">
        <v>0</v>
      </c>
      <c r="H258" s="514">
        <v>0</v>
      </c>
      <c r="I258" s="514">
        <v>0</v>
      </c>
      <c r="J258" s="514">
        <v>0</v>
      </c>
      <c r="K258" s="514">
        <v>0</v>
      </c>
      <c r="L258" s="514">
        <v>0</v>
      </c>
      <c r="M258" s="514">
        <v>0</v>
      </c>
      <c r="N258" s="514">
        <v>0</v>
      </c>
      <c r="O258" s="499"/>
      <c r="P258" s="499"/>
      <c r="Q258" s="499"/>
    </row>
    <row r="259" spans="1:17" ht="14.4" x14ac:dyDescent="0.3">
      <c r="A259" s="502">
        <v>1310281</v>
      </c>
      <c r="B259" s="503" t="s">
        <v>2069</v>
      </c>
      <c r="C259" s="514">
        <v>0</v>
      </c>
      <c r="D259" s="514">
        <v>0</v>
      </c>
      <c r="E259" s="514">
        <v>0</v>
      </c>
      <c r="F259" s="514">
        <v>0</v>
      </c>
      <c r="G259" s="514">
        <v>0</v>
      </c>
      <c r="H259" s="514">
        <v>0</v>
      </c>
      <c r="I259" s="514">
        <v>0</v>
      </c>
      <c r="J259" s="514">
        <v>0</v>
      </c>
      <c r="K259" s="514">
        <v>0</v>
      </c>
      <c r="L259" s="514">
        <v>0</v>
      </c>
      <c r="M259" s="514">
        <v>0</v>
      </c>
      <c r="N259" s="514">
        <v>0</v>
      </c>
      <c r="O259" s="499"/>
      <c r="P259" s="499"/>
      <c r="Q259" s="499"/>
    </row>
    <row r="260" spans="1:17" ht="14.4" x14ac:dyDescent="0.3">
      <c r="A260" s="502">
        <v>1310282</v>
      </c>
      <c r="B260" s="503" t="s">
        <v>2070</v>
      </c>
      <c r="C260" s="514">
        <v>0</v>
      </c>
      <c r="D260" s="514">
        <v>0</v>
      </c>
      <c r="E260" s="514">
        <v>0</v>
      </c>
      <c r="F260" s="514">
        <v>0</v>
      </c>
      <c r="G260" s="514">
        <v>0</v>
      </c>
      <c r="H260" s="514">
        <v>0</v>
      </c>
      <c r="I260" s="514">
        <v>0</v>
      </c>
      <c r="J260" s="514">
        <v>0</v>
      </c>
      <c r="K260" s="514">
        <v>0</v>
      </c>
      <c r="L260" s="514">
        <v>0</v>
      </c>
      <c r="M260" s="514">
        <v>0</v>
      </c>
      <c r="N260" s="514">
        <v>0</v>
      </c>
      <c r="O260" s="499"/>
      <c r="P260" s="499"/>
      <c r="Q260" s="499"/>
    </row>
    <row r="261" spans="1:17" ht="14.4" x14ac:dyDescent="0.3">
      <c r="A261" s="502">
        <v>1310283</v>
      </c>
      <c r="B261" s="503" t="s">
        <v>2071</v>
      </c>
      <c r="C261" s="514">
        <v>0</v>
      </c>
      <c r="D261" s="514">
        <v>0</v>
      </c>
      <c r="E261" s="514">
        <v>0</v>
      </c>
      <c r="F261" s="514">
        <v>0</v>
      </c>
      <c r="G261" s="514">
        <v>0</v>
      </c>
      <c r="H261" s="514">
        <v>0</v>
      </c>
      <c r="I261" s="514">
        <v>0</v>
      </c>
      <c r="J261" s="514">
        <v>0</v>
      </c>
      <c r="K261" s="514">
        <v>0</v>
      </c>
      <c r="L261" s="514">
        <v>0</v>
      </c>
      <c r="M261" s="514">
        <v>0</v>
      </c>
      <c r="N261" s="514">
        <v>0</v>
      </c>
      <c r="O261" s="499"/>
      <c r="P261" s="499"/>
      <c r="Q261" s="499"/>
    </row>
    <row r="262" spans="1:17" ht="14.4" x14ac:dyDescent="0.3">
      <c r="A262" s="502">
        <v>1310284</v>
      </c>
      <c r="B262" s="503" t="s">
        <v>2072</v>
      </c>
      <c r="C262" s="514">
        <v>0</v>
      </c>
      <c r="D262" s="514">
        <v>0</v>
      </c>
      <c r="E262" s="514">
        <v>0</v>
      </c>
      <c r="F262" s="514">
        <v>0</v>
      </c>
      <c r="G262" s="514">
        <v>0</v>
      </c>
      <c r="H262" s="514">
        <v>0</v>
      </c>
      <c r="I262" s="514">
        <v>0</v>
      </c>
      <c r="J262" s="514">
        <v>0</v>
      </c>
      <c r="K262" s="514">
        <v>0</v>
      </c>
      <c r="L262" s="514">
        <v>0</v>
      </c>
      <c r="M262" s="514">
        <v>0</v>
      </c>
      <c r="N262" s="514">
        <v>0</v>
      </c>
      <c r="O262" s="499"/>
      <c r="P262" s="499"/>
      <c r="Q262" s="499"/>
    </row>
    <row r="263" spans="1:17" ht="14.4" x14ac:dyDescent="0.3">
      <c r="A263" s="502">
        <v>1310285</v>
      </c>
      <c r="B263" s="503" t="s">
        <v>2073</v>
      </c>
      <c r="C263" s="514">
        <v>0</v>
      </c>
      <c r="D263" s="514">
        <v>0</v>
      </c>
      <c r="E263" s="514">
        <v>0</v>
      </c>
      <c r="F263" s="514">
        <v>0</v>
      </c>
      <c r="G263" s="514">
        <v>0</v>
      </c>
      <c r="H263" s="514">
        <v>0</v>
      </c>
      <c r="I263" s="514">
        <v>0</v>
      </c>
      <c r="J263" s="514">
        <v>0</v>
      </c>
      <c r="K263" s="514">
        <v>0</v>
      </c>
      <c r="L263" s="514">
        <v>0</v>
      </c>
      <c r="M263" s="514">
        <v>0</v>
      </c>
      <c r="N263" s="514">
        <v>0</v>
      </c>
      <c r="O263" s="499"/>
      <c r="P263" s="499"/>
      <c r="Q263" s="499"/>
    </row>
    <row r="264" spans="1:17" ht="14.4" x14ac:dyDescent="0.3">
      <c r="A264" s="502">
        <v>1310286</v>
      </c>
      <c r="B264" s="503" t="s">
        <v>2074</v>
      </c>
      <c r="C264" s="514">
        <v>0</v>
      </c>
      <c r="D264" s="514">
        <v>0</v>
      </c>
      <c r="E264" s="514">
        <v>0</v>
      </c>
      <c r="F264" s="514">
        <v>0</v>
      </c>
      <c r="G264" s="514">
        <v>0</v>
      </c>
      <c r="H264" s="514">
        <v>0</v>
      </c>
      <c r="I264" s="514">
        <v>0</v>
      </c>
      <c r="J264" s="514">
        <v>0</v>
      </c>
      <c r="K264" s="514">
        <v>0</v>
      </c>
      <c r="L264" s="514">
        <v>0</v>
      </c>
      <c r="M264" s="514">
        <v>0</v>
      </c>
      <c r="N264" s="514">
        <v>0</v>
      </c>
      <c r="O264" s="499"/>
      <c r="P264" s="499"/>
      <c r="Q264" s="499"/>
    </row>
    <row r="265" spans="1:17" ht="14.4" x14ac:dyDescent="0.3">
      <c r="A265" s="502">
        <v>1310287</v>
      </c>
      <c r="B265" s="503" t="s">
        <v>2075</v>
      </c>
      <c r="C265" s="514">
        <v>0</v>
      </c>
      <c r="D265" s="514">
        <v>0</v>
      </c>
      <c r="E265" s="514">
        <v>0</v>
      </c>
      <c r="F265" s="514">
        <v>0</v>
      </c>
      <c r="G265" s="514">
        <v>0</v>
      </c>
      <c r="H265" s="514">
        <v>0</v>
      </c>
      <c r="I265" s="514">
        <v>0</v>
      </c>
      <c r="J265" s="514">
        <v>0</v>
      </c>
      <c r="K265" s="514">
        <v>0</v>
      </c>
      <c r="L265" s="514">
        <v>0</v>
      </c>
      <c r="M265" s="514">
        <v>0</v>
      </c>
      <c r="N265" s="514">
        <v>0</v>
      </c>
      <c r="O265" s="499"/>
      <c r="P265" s="499"/>
      <c r="Q265" s="499"/>
    </row>
    <row r="266" spans="1:17" ht="14.4" x14ac:dyDescent="0.3">
      <c r="A266" s="502">
        <v>1310288</v>
      </c>
      <c r="B266" s="503" t="s">
        <v>2076</v>
      </c>
      <c r="C266" s="514">
        <v>0</v>
      </c>
      <c r="D266" s="514">
        <v>0</v>
      </c>
      <c r="E266" s="514">
        <v>0</v>
      </c>
      <c r="F266" s="514">
        <v>0</v>
      </c>
      <c r="G266" s="514">
        <v>0</v>
      </c>
      <c r="H266" s="514">
        <v>0</v>
      </c>
      <c r="I266" s="514">
        <v>0</v>
      </c>
      <c r="J266" s="514">
        <v>0</v>
      </c>
      <c r="K266" s="514">
        <v>0</v>
      </c>
      <c r="L266" s="514">
        <v>0</v>
      </c>
      <c r="M266" s="514">
        <v>0</v>
      </c>
      <c r="N266" s="514">
        <v>0</v>
      </c>
      <c r="O266" s="499"/>
      <c r="P266" s="499"/>
      <c r="Q266" s="499"/>
    </row>
    <row r="267" spans="1:17" ht="14.4" x14ac:dyDescent="0.3">
      <c r="A267" s="502">
        <v>1310290</v>
      </c>
      <c r="B267" s="503" t="s">
        <v>2077</v>
      </c>
      <c r="C267" s="514">
        <v>0</v>
      </c>
      <c r="D267" s="514">
        <v>0</v>
      </c>
      <c r="E267" s="514">
        <v>0</v>
      </c>
      <c r="F267" s="514">
        <v>0</v>
      </c>
      <c r="G267" s="514">
        <v>0</v>
      </c>
      <c r="H267" s="514">
        <v>0</v>
      </c>
      <c r="I267" s="514">
        <v>0</v>
      </c>
      <c r="J267" s="514">
        <v>0</v>
      </c>
      <c r="K267" s="514">
        <v>0</v>
      </c>
      <c r="L267" s="514">
        <v>0</v>
      </c>
      <c r="M267" s="514">
        <v>0</v>
      </c>
      <c r="N267" s="514">
        <v>0</v>
      </c>
      <c r="O267" s="499"/>
      <c r="P267" s="499"/>
      <c r="Q267" s="499"/>
    </row>
    <row r="268" spans="1:17" ht="14.4" x14ac:dyDescent="0.3">
      <c r="A268" s="502">
        <v>1310297</v>
      </c>
      <c r="B268" s="503" t="s">
        <v>2077</v>
      </c>
      <c r="C268" s="514">
        <v>0</v>
      </c>
      <c r="D268" s="514">
        <v>0</v>
      </c>
      <c r="E268" s="514">
        <v>0</v>
      </c>
      <c r="F268" s="514">
        <v>0</v>
      </c>
      <c r="G268" s="514">
        <v>0</v>
      </c>
      <c r="H268" s="514">
        <v>0</v>
      </c>
      <c r="I268" s="514">
        <v>0</v>
      </c>
      <c r="J268" s="514">
        <v>0</v>
      </c>
      <c r="K268" s="514">
        <v>0</v>
      </c>
      <c r="L268" s="514">
        <v>0</v>
      </c>
      <c r="M268" s="514">
        <v>0</v>
      </c>
      <c r="N268" s="514">
        <v>0</v>
      </c>
      <c r="O268" s="499"/>
      <c r="P268" s="499"/>
      <c r="Q268" s="499"/>
    </row>
    <row r="269" spans="1:17" ht="14.4" x14ac:dyDescent="0.3">
      <c r="A269" s="502">
        <v>1310300</v>
      </c>
      <c r="B269" s="503" t="s">
        <v>2078</v>
      </c>
      <c r="C269" s="514">
        <v>0</v>
      </c>
      <c r="D269" s="514">
        <v>0</v>
      </c>
      <c r="E269" s="514">
        <v>0</v>
      </c>
      <c r="F269" s="514">
        <v>0</v>
      </c>
      <c r="G269" s="514">
        <v>0</v>
      </c>
      <c r="H269" s="514">
        <v>0</v>
      </c>
      <c r="I269" s="514">
        <v>0</v>
      </c>
      <c r="J269" s="514">
        <v>0</v>
      </c>
      <c r="K269" s="514">
        <v>0</v>
      </c>
      <c r="L269" s="514">
        <v>0</v>
      </c>
      <c r="M269" s="514">
        <v>0</v>
      </c>
      <c r="N269" s="514">
        <v>0</v>
      </c>
      <c r="O269" s="499"/>
      <c r="P269" s="499"/>
      <c r="Q269" s="499"/>
    </row>
    <row r="270" spans="1:17" ht="14.4" x14ac:dyDescent="0.3">
      <c r="A270" s="502">
        <v>1310307</v>
      </c>
      <c r="B270" s="503" t="s">
        <v>2079</v>
      </c>
      <c r="C270" s="514">
        <v>0</v>
      </c>
      <c r="D270" s="514">
        <v>0</v>
      </c>
      <c r="E270" s="514">
        <v>0</v>
      </c>
      <c r="F270" s="514">
        <v>0</v>
      </c>
      <c r="G270" s="514">
        <v>0</v>
      </c>
      <c r="H270" s="514">
        <v>0</v>
      </c>
      <c r="I270" s="514">
        <v>0</v>
      </c>
      <c r="J270" s="514">
        <v>0</v>
      </c>
      <c r="K270" s="514">
        <v>0</v>
      </c>
      <c r="L270" s="514">
        <v>0</v>
      </c>
      <c r="M270" s="514">
        <v>0</v>
      </c>
      <c r="N270" s="514">
        <v>0</v>
      </c>
      <c r="O270" s="499"/>
      <c r="P270" s="499"/>
      <c r="Q270" s="499"/>
    </row>
    <row r="271" spans="1:17" ht="14.4" x14ac:dyDescent="0.3">
      <c r="A271" s="502">
        <v>1310310</v>
      </c>
      <c r="B271" s="503" t="s">
        <v>2080</v>
      </c>
      <c r="C271" s="514">
        <v>0</v>
      </c>
      <c r="D271" s="514">
        <v>0</v>
      </c>
      <c r="E271" s="514">
        <v>0</v>
      </c>
      <c r="F271" s="514">
        <v>0</v>
      </c>
      <c r="G271" s="514">
        <v>0</v>
      </c>
      <c r="H271" s="514">
        <v>0</v>
      </c>
      <c r="I271" s="514">
        <v>0</v>
      </c>
      <c r="J271" s="514">
        <v>0</v>
      </c>
      <c r="K271" s="514">
        <v>0</v>
      </c>
      <c r="L271" s="514">
        <v>0</v>
      </c>
      <c r="M271" s="514">
        <v>0</v>
      </c>
      <c r="N271" s="514">
        <v>0</v>
      </c>
      <c r="O271" s="499"/>
      <c r="P271" s="499"/>
      <c r="Q271" s="499"/>
    </row>
    <row r="272" spans="1:17" ht="14.4" x14ac:dyDescent="0.3">
      <c r="A272" s="502">
        <v>1310320</v>
      </c>
      <c r="B272" s="503" t="s">
        <v>2081</v>
      </c>
      <c r="C272" s="514">
        <v>0</v>
      </c>
      <c r="D272" s="514">
        <v>0</v>
      </c>
      <c r="E272" s="514">
        <v>0</v>
      </c>
      <c r="F272" s="514">
        <v>0</v>
      </c>
      <c r="G272" s="514">
        <v>0</v>
      </c>
      <c r="H272" s="514">
        <v>0</v>
      </c>
      <c r="I272" s="514">
        <v>0</v>
      </c>
      <c r="J272" s="514">
        <v>0</v>
      </c>
      <c r="K272" s="514">
        <v>0</v>
      </c>
      <c r="L272" s="514">
        <v>0</v>
      </c>
      <c r="M272" s="514">
        <v>0</v>
      </c>
      <c r="N272" s="514">
        <v>0</v>
      </c>
      <c r="O272" s="499"/>
      <c r="P272" s="499"/>
      <c r="Q272" s="499"/>
    </row>
    <row r="273" spans="1:17" ht="14.4" x14ac:dyDescent="0.3">
      <c r="A273" s="502">
        <v>1310327</v>
      </c>
      <c r="B273" s="503" t="s">
        <v>2082</v>
      </c>
      <c r="C273" s="514">
        <v>0</v>
      </c>
      <c r="D273" s="514">
        <v>0</v>
      </c>
      <c r="E273" s="514">
        <v>0</v>
      </c>
      <c r="F273" s="514">
        <v>0</v>
      </c>
      <c r="G273" s="514">
        <v>0</v>
      </c>
      <c r="H273" s="514">
        <v>0</v>
      </c>
      <c r="I273" s="514">
        <v>0</v>
      </c>
      <c r="J273" s="514">
        <v>0</v>
      </c>
      <c r="K273" s="514">
        <v>0</v>
      </c>
      <c r="L273" s="514">
        <v>0</v>
      </c>
      <c r="M273" s="514">
        <v>0</v>
      </c>
      <c r="N273" s="514">
        <v>0</v>
      </c>
      <c r="O273" s="499"/>
      <c r="P273" s="499"/>
      <c r="Q273" s="499"/>
    </row>
    <row r="274" spans="1:17" ht="14.4" x14ac:dyDescent="0.3">
      <c r="A274" s="502">
        <v>1310330</v>
      </c>
      <c r="B274" s="503" t="s">
        <v>2083</v>
      </c>
      <c r="C274" s="514">
        <v>0</v>
      </c>
      <c r="D274" s="514">
        <v>0</v>
      </c>
      <c r="E274" s="514">
        <v>0</v>
      </c>
      <c r="F274" s="514">
        <v>0</v>
      </c>
      <c r="G274" s="514">
        <v>0</v>
      </c>
      <c r="H274" s="514">
        <v>0</v>
      </c>
      <c r="I274" s="514">
        <v>0</v>
      </c>
      <c r="J274" s="514">
        <v>0</v>
      </c>
      <c r="K274" s="514">
        <v>0</v>
      </c>
      <c r="L274" s="514">
        <v>0</v>
      </c>
      <c r="M274" s="514">
        <v>0</v>
      </c>
      <c r="N274" s="514">
        <v>0</v>
      </c>
      <c r="O274" s="499"/>
      <c r="P274" s="499"/>
      <c r="Q274" s="499"/>
    </row>
    <row r="275" spans="1:17" ht="14.4" x14ac:dyDescent="0.3">
      <c r="A275" s="502">
        <v>1310337</v>
      </c>
      <c r="B275" s="503" t="s">
        <v>2084</v>
      </c>
      <c r="C275" s="514">
        <v>0</v>
      </c>
      <c r="D275" s="514">
        <v>0</v>
      </c>
      <c r="E275" s="514">
        <v>0</v>
      </c>
      <c r="F275" s="514">
        <v>0</v>
      </c>
      <c r="G275" s="514">
        <v>0</v>
      </c>
      <c r="H275" s="514">
        <v>0</v>
      </c>
      <c r="I275" s="514">
        <v>0</v>
      </c>
      <c r="J275" s="514">
        <v>0</v>
      </c>
      <c r="K275" s="514">
        <v>0</v>
      </c>
      <c r="L275" s="514">
        <v>0</v>
      </c>
      <c r="M275" s="514">
        <v>0</v>
      </c>
      <c r="N275" s="514">
        <v>0</v>
      </c>
      <c r="O275" s="499"/>
      <c r="P275" s="499"/>
      <c r="Q275" s="499"/>
    </row>
    <row r="276" spans="1:17" ht="14.4" x14ac:dyDescent="0.3">
      <c r="A276" s="502">
        <v>1310340</v>
      </c>
      <c r="B276" s="503" t="s">
        <v>2085</v>
      </c>
      <c r="C276" s="514">
        <v>0</v>
      </c>
      <c r="D276" s="514">
        <v>0</v>
      </c>
      <c r="E276" s="514">
        <v>0</v>
      </c>
      <c r="F276" s="514">
        <v>0</v>
      </c>
      <c r="G276" s="514">
        <v>0</v>
      </c>
      <c r="H276" s="514">
        <v>0</v>
      </c>
      <c r="I276" s="514">
        <v>0</v>
      </c>
      <c r="J276" s="514">
        <v>0</v>
      </c>
      <c r="K276" s="514">
        <v>0</v>
      </c>
      <c r="L276" s="514">
        <v>0</v>
      </c>
      <c r="M276" s="514">
        <v>0</v>
      </c>
      <c r="N276" s="514">
        <v>0</v>
      </c>
      <c r="O276" s="499"/>
      <c r="P276" s="499"/>
      <c r="Q276" s="499"/>
    </row>
    <row r="277" spans="1:17" ht="14.4" x14ac:dyDescent="0.3">
      <c r="A277" s="502">
        <v>1310347</v>
      </c>
      <c r="B277" s="503" t="s">
        <v>2086</v>
      </c>
      <c r="C277" s="514">
        <v>0</v>
      </c>
      <c r="D277" s="514">
        <v>0</v>
      </c>
      <c r="E277" s="514">
        <v>0</v>
      </c>
      <c r="F277" s="514">
        <v>0</v>
      </c>
      <c r="G277" s="514">
        <v>0</v>
      </c>
      <c r="H277" s="514">
        <v>0</v>
      </c>
      <c r="I277" s="514">
        <v>0</v>
      </c>
      <c r="J277" s="514">
        <v>0</v>
      </c>
      <c r="K277" s="514">
        <v>0</v>
      </c>
      <c r="L277" s="514">
        <v>0</v>
      </c>
      <c r="M277" s="514">
        <v>0</v>
      </c>
      <c r="N277" s="514">
        <v>0</v>
      </c>
      <c r="O277" s="499"/>
      <c r="P277" s="499"/>
      <c r="Q277" s="499"/>
    </row>
    <row r="278" spans="1:17" ht="14.4" x14ac:dyDescent="0.3">
      <c r="A278" s="502">
        <v>1310350</v>
      </c>
      <c r="B278" s="503" t="s">
        <v>2087</v>
      </c>
      <c r="C278" s="514">
        <v>0</v>
      </c>
      <c r="D278" s="514">
        <v>0</v>
      </c>
      <c r="E278" s="514">
        <v>0</v>
      </c>
      <c r="F278" s="514">
        <v>0</v>
      </c>
      <c r="G278" s="514">
        <v>0</v>
      </c>
      <c r="H278" s="514">
        <v>0</v>
      </c>
      <c r="I278" s="514">
        <v>0</v>
      </c>
      <c r="J278" s="514">
        <v>0</v>
      </c>
      <c r="K278" s="514">
        <v>0</v>
      </c>
      <c r="L278" s="514">
        <v>0</v>
      </c>
      <c r="M278" s="514">
        <v>0</v>
      </c>
      <c r="N278" s="514">
        <v>0</v>
      </c>
      <c r="O278" s="499"/>
      <c r="P278" s="499"/>
      <c r="Q278" s="499"/>
    </row>
    <row r="279" spans="1:17" ht="14.4" x14ac:dyDescent="0.3">
      <c r="A279" s="502">
        <v>1310357</v>
      </c>
      <c r="B279" s="503" t="s">
        <v>2088</v>
      </c>
      <c r="C279" s="514">
        <v>0</v>
      </c>
      <c r="D279" s="514">
        <v>0</v>
      </c>
      <c r="E279" s="514">
        <v>0</v>
      </c>
      <c r="F279" s="514">
        <v>0</v>
      </c>
      <c r="G279" s="514">
        <v>0</v>
      </c>
      <c r="H279" s="514">
        <v>0</v>
      </c>
      <c r="I279" s="514">
        <v>0</v>
      </c>
      <c r="J279" s="514">
        <v>0</v>
      </c>
      <c r="K279" s="514">
        <v>0</v>
      </c>
      <c r="L279" s="514">
        <v>0</v>
      </c>
      <c r="M279" s="514">
        <v>0</v>
      </c>
      <c r="N279" s="514">
        <v>0</v>
      </c>
      <c r="O279" s="499"/>
      <c r="P279" s="499"/>
      <c r="Q279" s="499"/>
    </row>
    <row r="280" spans="1:17" ht="14.4" x14ac:dyDescent="0.3">
      <c r="A280" s="502">
        <v>1310360</v>
      </c>
      <c r="B280" s="503" t="s">
        <v>2089</v>
      </c>
      <c r="C280" s="514">
        <v>0</v>
      </c>
      <c r="D280" s="514">
        <v>0</v>
      </c>
      <c r="E280" s="514">
        <v>0</v>
      </c>
      <c r="F280" s="514">
        <v>0</v>
      </c>
      <c r="G280" s="514">
        <v>0</v>
      </c>
      <c r="H280" s="514">
        <v>0</v>
      </c>
      <c r="I280" s="514">
        <v>0</v>
      </c>
      <c r="J280" s="514">
        <v>0</v>
      </c>
      <c r="K280" s="514">
        <v>0</v>
      </c>
      <c r="L280" s="514">
        <v>0</v>
      </c>
      <c r="M280" s="514">
        <v>0</v>
      </c>
      <c r="N280" s="514">
        <v>0</v>
      </c>
      <c r="O280" s="499"/>
      <c r="P280" s="499"/>
      <c r="Q280" s="499"/>
    </row>
    <row r="281" spans="1:17" ht="14.4" x14ac:dyDescent="0.3">
      <c r="A281" s="502">
        <v>1310370</v>
      </c>
      <c r="B281" s="503" t="s">
        <v>2090</v>
      </c>
      <c r="C281" s="514">
        <v>0</v>
      </c>
      <c r="D281" s="514">
        <v>0</v>
      </c>
      <c r="E281" s="514">
        <v>0</v>
      </c>
      <c r="F281" s="514">
        <v>0</v>
      </c>
      <c r="G281" s="514">
        <v>0</v>
      </c>
      <c r="H281" s="514">
        <v>0</v>
      </c>
      <c r="I281" s="514">
        <v>0</v>
      </c>
      <c r="J281" s="514">
        <v>0</v>
      </c>
      <c r="K281" s="514">
        <v>0</v>
      </c>
      <c r="L281" s="514">
        <v>0</v>
      </c>
      <c r="M281" s="514">
        <v>0</v>
      </c>
      <c r="N281" s="514">
        <v>0</v>
      </c>
      <c r="O281" s="499"/>
      <c r="P281" s="499"/>
      <c r="Q281" s="499"/>
    </row>
    <row r="282" spans="1:17" ht="14.4" x14ac:dyDescent="0.3">
      <c r="A282" s="502">
        <v>1310377</v>
      </c>
      <c r="B282" s="503" t="s">
        <v>2091</v>
      </c>
      <c r="C282" s="514">
        <v>0</v>
      </c>
      <c r="D282" s="514">
        <v>0</v>
      </c>
      <c r="E282" s="514">
        <v>0</v>
      </c>
      <c r="F282" s="514">
        <v>0</v>
      </c>
      <c r="G282" s="514">
        <v>0</v>
      </c>
      <c r="H282" s="514">
        <v>0</v>
      </c>
      <c r="I282" s="514">
        <v>0</v>
      </c>
      <c r="J282" s="514">
        <v>0</v>
      </c>
      <c r="K282" s="514">
        <v>0</v>
      </c>
      <c r="L282" s="514">
        <v>0</v>
      </c>
      <c r="M282" s="514">
        <v>0</v>
      </c>
      <c r="N282" s="514">
        <v>0</v>
      </c>
      <c r="O282" s="499"/>
      <c r="P282" s="499"/>
      <c r="Q282" s="499"/>
    </row>
    <row r="283" spans="1:17" ht="14.4" x14ac:dyDescent="0.3">
      <c r="A283" s="502">
        <v>1310380</v>
      </c>
      <c r="B283" s="503" t="s">
        <v>2092</v>
      </c>
      <c r="C283" s="514">
        <v>0</v>
      </c>
      <c r="D283" s="514">
        <v>0</v>
      </c>
      <c r="E283" s="514">
        <v>0</v>
      </c>
      <c r="F283" s="514">
        <v>0</v>
      </c>
      <c r="G283" s="514">
        <v>0</v>
      </c>
      <c r="H283" s="514">
        <v>0</v>
      </c>
      <c r="I283" s="514">
        <v>0</v>
      </c>
      <c r="J283" s="514">
        <v>0</v>
      </c>
      <c r="K283" s="514">
        <v>0</v>
      </c>
      <c r="L283" s="514">
        <v>0</v>
      </c>
      <c r="M283" s="514">
        <v>0</v>
      </c>
      <c r="N283" s="514">
        <v>0</v>
      </c>
      <c r="O283" s="499"/>
      <c r="P283" s="499"/>
      <c r="Q283" s="499"/>
    </row>
    <row r="284" spans="1:17" ht="14.4" x14ac:dyDescent="0.3">
      <c r="A284" s="502">
        <v>1310387</v>
      </c>
      <c r="B284" s="503" t="s">
        <v>2093</v>
      </c>
      <c r="C284" s="514">
        <v>0</v>
      </c>
      <c r="D284" s="514">
        <v>0</v>
      </c>
      <c r="E284" s="514">
        <v>0</v>
      </c>
      <c r="F284" s="514">
        <v>0</v>
      </c>
      <c r="G284" s="514">
        <v>0</v>
      </c>
      <c r="H284" s="514">
        <v>0</v>
      </c>
      <c r="I284" s="514">
        <v>0</v>
      </c>
      <c r="J284" s="514">
        <v>0</v>
      </c>
      <c r="K284" s="514">
        <v>0</v>
      </c>
      <c r="L284" s="514">
        <v>0</v>
      </c>
      <c r="M284" s="514">
        <v>0</v>
      </c>
      <c r="N284" s="514">
        <v>0</v>
      </c>
      <c r="O284" s="499"/>
      <c r="P284" s="499"/>
      <c r="Q284" s="499"/>
    </row>
    <row r="285" spans="1:17" ht="14.4" x14ac:dyDescent="0.3">
      <c r="A285" s="502">
        <v>1310390</v>
      </c>
      <c r="B285" s="503" t="s">
        <v>2094</v>
      </c>
      <c r="C285" s="514">
        <v>0</v>
      </c>
      <c r="D285" s="514">
        <v>0</v>
      </c>
      <c r="E285" s="514">
        <v>0</v>
      </c>
      <c r="F285" s="514">
        <v>0</v>
      </c>
      <c r="G285" s="514">
        <v>0</v>
      </c>
      <c r="H285" s="514">
        <v>0</v>
      </c>
      <c r="I285" s="514">
        <v>0</v>
      </c>
      <c r="J285" s="514">
        <v>0</v>
      </c>
      <c r="K285" s="514">
        <v>0</v>
      </c>
      <c r="L285" s="514">
        <v>0</v>
      </c>
      <c r="M285" s="514">
        <v>0</v>
      </c>
      <c r="N285" s="514">
        <v>0</v>
      </c>
      <c r="O285" s="499"/>
      <c r="P285" s="499"/>
      <c r="Q285" s="499"/>
    </row>
    <row r="286" spans="1:17" ht="14.4" x14ac:dyDescent="0.3">
      <c r="A286" s="502">
        <v>1310397</v>
      </c>
      <c r="B286" s="503" t="s">
        <v>2095</v>
      </c>
      <c r="C286" s="514">
        <v>0</v>
      </c>
      <c r="D286" s="514">
        <v>0</v>
      </c>
      <c r="E286" s="514">
        <v>0</v>
      </c>
      <c r="F286" s="514">
        <v>0</v>
      </c>
      <c r="G286" s="514">
        <v>0</v>
      </c>
      <c r="H286" s="514">
        <v>0</v>
      </c>
      <c r="I286" s="514">
        <v>0</v>
      </c>
      <c r="J286" s="514">
        <v>0</v>
      </c>
      <c r="K286" s="514">
        <v>0</v>
      </c>
      <c r="L286" s="514">
        <v>0</v>
      </c>
      <c r="M286" s="514">
        <v>0</v>
      </c>
      <c r="N286" s="514">
        <v>0</v>
      </c>
      <c r="O286" s="499"/>
      <c r="P286" s="499"/>
      <c r="Q286" s="499"/>
    </row>
    <row r="287" spans="1:17" ht="14.4" x14ac:dyDescent="0.3">
      <c r="A287" s="502">
        <v>1310400</v>
      </c>
      <c r="B287" s="503" t="s">
        <v>2096</v>
      </c>
      <c r="C287" s="514">
        <v>0</v>
      </c>
      <c r="D287" s="514">
        <v>0</v>
      </c>
      <c r="E287" s="514">
        <v>0</v>
      </c>
      <c r="F287" s="514">
        <v>0</v>
      </c>
      <c r="G287" s="514">
        <v>0</v>
      </c>
      <c r="H287" s="514">
        <v>0</v>
      </c>
      <c r="I287" s="514">
        <v>0</v>
      </c>
      <c r="J287" s="514">
        <v>0</v>
      </c>
      <c r="K287" s="514">
        <v>0</v>
      </c>
      <c r="L287" s="514">
        <v>0</v>
      </c>
      <c r="M287" s="514">
        <v>0</v>
      </c>
      <c r="N287" s="514">
        <v>0</v>
      </c>
      <c r="O287" s="499"/>
      <c r="P287" s="499"/>
      <c r="Q287" s="499"/>
    </row>
    <row r="288" spans="1:17" ht="14.4" x14ac:dyDescent="0.3">
      <c r="A288" s="502">
        <v>1310407</v>
      </c>
      <c r="B288" s="503" t="s">
        <v>2097</v>
      </c>
      <c r="C288" s="514">
        <v>0</v>
      </c>
      <c r="D288" s="514">
        <v>0</v>
      </c>
      <c r="E288" s="514">
        <v>0</v>
      </c>
      <c r="F288" s="514">
        <v>0</v>
      </c>
      <c r="G288" s="514">
        <v>0</v>
      </c>
      <c r="H288" s="514">
        <v>0</v>
      </c>
      <c r="I288" s="514">
        <v>0</v>
      </c>
      <c r="J288" s="514">
        <v>0</v>
      </c>
      <c r="K288" s="514">
        <v>0</v>
      </c>
      <c r="L288" s="514">
        <v>0</v>
      </c>
      <c r="M288" s="514">
        <v>0</v>
      </c>
      <c r="N288" s="514">
        <v>0</v>
      </c>
      <c r="O288" s="499"/>
      <c r="P288" s="499"/>
      <c r="Q288" s="499"/>
    </row>
    <row r="289" spans="1:17" ht="14.4" x14ac:dyDescent="0.3">
      <c r="A289" s="502">
        <v>1310410</v>
      </c>
      <c r="B289" s="503" t="s">
        <v>2098</v>
      </c>
      <c r="C289" s="514">
        <v>0</v>
      </c>
      <c r="D289" s="514">
        <v>0</v>
      </c>
      <c r="E289" s="514">
        <v>0</v>
      </c>
      <c r="F289" s="514">
        <v>0</v>
      </c>
      <c r="G289" s="514">
        <v>0</v>
      </c>
      <c r="H289" s="514">
        <v>0</v>
      </c>
      <c r="I289" s="514">
        <v>0</v>
      </c>
      <c r="J289" s="514">
        <v>0</v>
      </c>
      <c r="K289" s="514">
        <v>0</v>
      </c>
      <c r="L289" s="514">
        <v>0</v>
      </c>
      <c r="M289" s="514">
        <v>0</v>
      </c>
      <c r="N289" s="514">
        <v>0</v>
      </c>
      <c r="O289" s="499"/>
      <c r="P289" s="499"/>
      <c r="Q289" s="499"/>
    </row>
    <row r="290" spans="1:17" ht="14.4" x14ac:dyDescent="0.3">
      <c r="A290" s="502">
        <v>1310411</v>
      </c>
      <c r="B290" s="503" t="s">
        <v>2099</v>
      </c>
      <c r="C290" s="514">
        <v>0</v>
      </c>
      <c r="D290" s="514">
        <v>0</v>
      </c>
      <c r="E290" s="514">
        <v>0</v>
      </c>
      <c r="F290" s="514">
        <v>0</v>
      </c>
      <c r="G290" s="514">
        <v>0</v>
      </c>
      <c r="H290" s="514">
        <v>0</v>
      </c>
      <c r="I290" s="514">
        <v>0</v>
      </c>
      <c r="J290" s="514">
        <v>0</v>
      </c>
      <c r="K290" s="514">
        <v>0</v>
      </c>
      <c r="L290" s="514">
        <v>0</v>
      </c>
      <c r="M290" s="514">
        <v>0</v>
      </c>
      <c r="N290" s="514">
        <v>0</v>
      </c>
      <c r="O290" s="499"/>
      <c r="P290" s="499"/>
      <c r="Q290" s="499"/>
    </row>
    <row r="291" spans="1:17" ht="14.4" x14ac:dyDescent="0.3">
      <c r="A291" s="502">
        <v>1310412</v>
      </c>
      <c r="B291" s="503" t="s">
        <v>2100</v>
      </c>
      <c r="C291" s="514">
        <v>0</v>
      </c>
      <c r="D291" s="514">
        <v>0</v>
      </c>
      <c r="E291" s="514">
        <v>0</v>
      </c>
      <c r="F291" s="514">
        <v>0</v>
      </c>
      <c r="G291" s="514">
        <v>0</v>
      </c>
      <c r="H291" s="514">
        <v>0</v>
      </c>
      <c r="I291" s="514">
        <v>0</v>
      </c>
      <c r="J291" s="514">
        <v>0</v>
      </c>
      <c r="K291" s="514">
        <v>0</v>
      </c>
      <c r="L291" s="514">
        <v>0</v>
      </c>
      <c r="M291" s="514">
        <v>0</v>
      </c>
      <c r="N291" s="514">
        <v>0</v>
      </c>
      <c r="O291" s="499"/>
      <c r="P291" s="499"/>
      <c r="Q291" s="499"/>
    </row>
    <row r="292" spans="1:17" ht="14.4" x14ac:dyDescent="0.3">
      <c r="A292" s="502">
        <v>1310413</v>
      </c>
      <c r="B292" s="503" t="s">
        <v>2101</v>
      </c>
      <c r="C292" s="514">
        <v>0</v>
      </c>
      <c r="D292" s="514">
        <v>0</v>
      </c>
      <c r="E292" s="514">
        <v>0</v>
      </c>
      <c r="F292" s="514">
        <v>0</v>
      </c>
      <c r="G292" s="514">
        <v>0</v>
      </c>
      <c r="H292" s="514">
        <v>0</v>
      </c>
      <c r="I292" s="514">
        <v>0</v>
      </c>
      <c r="J292" s="514">
        <v>0</v>
      </c>
      <c r="K292" s="514">
        <v>0</v>
      </c>
      <c r="L292" s="514">
        <v>0</v>
      </c>
      <c r="M292" s="514">
        <v>0</v>
      </c>
      <c r="N292" s="514">
        <v>0</v>
      </c>
      <c r="O292" s="499"/>
      <c r="P292" s="499"/>
      <c r="Q292" s="499"/>
    </row>
    <row r="293" spans="1:17" ht="14.4" x14ac:dyDescent="0.3">
      <c r="A293" s="502">
        <v>1310414</v>
      </c>
      <c r="B293" s="503" t="s">
        <v>2102</v>
      </c>
      <c r="C293" s="514">
        <v>0</v>
      </c>
      <c r="D293" s="514">
        <v>0</v>
      </c>
      <c r="E293" s="514">
        <v>0</v>
      </c>
      <c r="F293" s="514">
        <v>0</v>
      </c>
      <c r="G293" s="514">
        <v>0</v>
      </c>
      <c r="H293" s="514">
        <v>0</v>
      </c>
      <c r="I293" s="514">
        <v>0</v>
      </c>
      <c r="J293" s="514">
        <v>0</v>
      </c>
      <c r="K293" s="514">
        <v>0</v>
      </c>
      <c r="L293" s="514">
        <v>0</v>
      </c>
      <c r="M293" s="514">
        <v>0</v>
      </c>
      <c r="N293" s="514">
        <v>0</v>
      </c>
      <c r="O293" s="499"/>
      <c r="P293" s="499"/>
      <c r="Q293" s="499"/>
    </row>
    <row r="294" spans="1:17" ht="14.4" x14ac:dyDescent="0.3">
      <c r="A294" s="502">
        <v>1310415</v>
      </c>
      <c r="B294" s="503" t="s">
        <v>2103</v>
      </c>
      <c r="C294" s="514">
        <v>0</v>
      </c>
      <c r="D294" s="514">
        <v>0</v>
      </c>
      <c r="E294" s="514">
        <v>0</v>
      </c>
      <c r="F294" s="514">
        <v>0</v>
      </c>
      <c r="G294" s="514">
        <v>0</v>
      </c>
      <c r="H294" s="514">
        <v>0</v>
      </c>
      <c r="I294" s="514">
        <v>0</v>
      </c>
      <c r="J294" s="514">
        <v>0</v>
      </c>
      <c r="K294" s="514">
        <v>0</v>
      </c>
      <c r="L294" s="514">
        <v>0</v>
      </c>
      <c r="M294" s="514">
        <v>0</v>
      </c>
      <c r="N294" s="514">
        <v>0</v>
      </c>
      <c r="O294" s="499"/>
      <c r="P294" s="499"/>
      <c r="Q294" s="499"/>
    </row>
    <row r="295" spans="1:17" ht="14.4" x14ac:dyDescent="0.3">
      <c r="A295" s="502">
        <v>1310416</v>
      </c>
      <c r="B295" s="503" t="s">
        <v>2104</v>
      </c>
      <c r="C295" s="514">
        <v>0</v>
      </c>
      <c r="D295" s="514">
        <v>0</v>
      </c>
      <c r="E295" s="514">
        <v>0</v>
      </c>
      <c r="F295" s="514">
        <v>0</v>
      </c>
      <c r="G295" s="514">
        <v>0</v>
      </c>
      <c r="H295" s="514">
        <v>0</v>
      </c>
      <c r="I295" s="514">
        <v>0</v>
      </c>
      <c r="J295" s="514">
        <v>0</v>
      </c>
      <c r="K295" s="514">
        <v>0</v>
      </c>
      <c r="L295" s="514">
        <v>0</v>
      </c>
      <c r="M295" s="514">
        <v>0</v>
      </c>
      <c r="N295" s="514">
        <v>0</v>
      </c>
      <c r="O295" s="499"/>
      <c r="P295" s="499"/>
      <c r="Q295" s="499"/>
    </row>
    <row r="296" spans="1:17" ht="14.4" x14ac:dyDescent="0.3">
      <c r="A296" s="502">
        <v>1310417</v>
      </c>
      <c r="B296" s="503" t="s">
        <v>2105</v>
      </c>
      <c r="C296" s="514">
        <v>0</v>
      </c>
      <c r="D296" s="514">
        <v>0</v>
      </c>
      <c r="E296" s="514">
        <v>0</v>
      </c>
      <c r="F296" s="514">
        <v>0</v>
      </c>
      <c r="G296" s="514">
        <v>0</v>
      </c>
      <c r="H296" s="514">
        <v>0</v>
      </c>
      <c r="I296" s="514">
        <v>0</v>
      </c>
      <c r="J296" s="514">
        <v>0</v>
      </c>
      <c r="K296" s="514">
        <v>0</v>
      </c>
      <c r="L296" s="514">
        <v>0</v>
      </c>
      <c r="M296" s="514">
        <v>0</v>
      </c>
      <c r="N296" s="514">
        <v>0</v>
      </c>
      <c r="O296" s="499"/>
      <c r="P296" s="499"/>
      <c r="Q296" s="499"/>
    </row>
    <row r="297" spans="1:17" ht="14.4" x14ac:dyDescent="0.3">
      <c r="A297" s="502">
        <v>1310418</v>
      </c>
      <c r="B297" s="503" t="s">
        <v>2106</v>
      </c>
      <c r="C297" s="514">
        <v>0</v>
      </c>
      <c r="D297" s="514">
        <v>0</v>
      </c>
      <c r="E297" s="514">
        <v>0</v>
      </c>
      <c r="F297" s="514">
        <v>0</v>
      </c>
      <c r="G297" s="514">
        <v>0</v>
      </c>
      <c r="H297" s="514">
        <v>0</v>
      </c>
      <c r="I297" s="514">
        <v>0</v>
      </c>
      <c r="J297" s="514">
        <v>0</v>
      </c>
      <c r="K297" s="514">
        <v>0</v>
      </c>
      <c r="L297" s="514">
        <v>0</v>
      </c>
      <c r="M297" s="514">
        <v>0</v>
      </c>
      <c r="N297" s="514">
        <v>0</v>
      </c>
      <c r="O297" s="499"/>
      <c r="P297" s="499"/>
      <c r="Q297" s="499"/>
    </row>
    <row r="298" spans="1:17" ht="14.4" x14ac:dyDescent="0.3">
      <c r="A298" s="502">
        <v>1310420</v>
      </c>
      <c r="B298" s="503" t="s">
        <v>2107</v>
      </c>
      <c r="C298" s="514">
        <v>0</v>
      </c>
      <c r="D298" s="514">
        <v>0</v>
      </c>
      <c r="E298" s="514">
        <v>0</v>
      </c>
      <c r="F298" s="514">
        <v>0</v>
      </c>
      <c r="G298" s="514">
        <v>0</v>
      </c>
      <c r="H298" s="514">
        <v>0</v>
      </c>
      <c r="I298" s="514">
        <v>0</v>
      </c>
      <c r="J298" s="514">
        <v>0</v>
      </c>
      <c r="K298" s="514">
        <v>0</v>
      </c>
      <c r="L298" s="514">
        <v>0</v>
      </c>
      <c r="M298" s="514">
        <v>0</v>
      </c>
      <c r="N298" s="514">
        <v>0</v>
      </c>
      <c r="O298" s="499"/>
      <c r="P298" s="499"/>
      <c r="Q298" s="499"/>
    </row>
    <row r="299" spans="1:17" ht="14.4" x14ac:dyDescent="0.3">
      <c r="A299" s="502">
        <v>1310427</v>
      </c>
      <c r="B299" s="503" t="s">
        <v>2108</v>
      </c>
      <c r="C299" s="514">
        <v>0</v>
      </c>
      <c r="D299" s="514">
        <v>0</v>
      </c>
      <c r="E299" s="514">
        <v>0</v>
      </c>
      <c r="F299" s="514">
        <v>0</v>
      </c>
      <c r="G299" s="514">
        <v>0</v>
      </c>
      <c r="H299" s="514">
        <v>0</v>
      </c>
      <c r="I299" s="514">
        <v>0</v>
      </c>
      <c r="J299" s="514">
        <v>0</v>
      </c>
      <c r="K299" s="514">
        <v>0</v>
      </c>
      <c r="L299" s="514">
        <v>0</v>
      </c>
      <c r="M299" s="514">
        <v>0</v>
      </c>
      <c r="N299" s="514">
        <v>0</v>
      </c>
      <c r="O299" s="499"/>
      <c r="P299" s="499"/>
      <c r="Q299" s="499"/>
    </row>
    <row r="300" spans="1:17" ht="14.4" x14ac:dyDescent="0.3">
      <c r="A300" s="502">
        <v>1310430</v>
      </c>
      <c r="B300" s="503" t="s">
        <v>2109</v>
      </c>
      <c r="C300" s="514">
        <v>0</v>
      </c>
      <c r="D300" s="514">
        <v>0</v>
      </c>
      <c r="E300" s="514">
        <v>0</v>
      </c>
      <c r="F300" s="514">
        <v>0</v>
      </c>
      <c r="G300" s="514">
        <v>0</v>
      </c>
      <c r="H300" s="514">
        <v>0</v>
      </c>
      <c r="I300" s="514">
        <v>0</v>
      </c>
      <c r="J300" s="514">
        <v>0</v>
      </c>
      <c r="K300" s="514">
        <v>0</v>
      </c>
      <c r="L300" s="514">
        <v>0</v>
      </c>
      <c r="M300" s="514">
        <v>0</v>
      </c>
      <c r="N300" s="514">
        <v>0</v>
      </c>
      <c r="O300" s="499"/>
      <c r="P300" s="499"/>
      <c r="Q300" s="499"/>
    </row>
    <row r="301" spans="1:17" ht="14.4" x14ac:dyDescent="0.3">
      <c r="A301" s="502">
        <v>1310431</v>
      </c>
      <c r="B301" s="503" t="s">
        <v>2110</v>
      </c>
      <c r="C301" s="514">
        <v>0</v>
      </c>
      <c r="D301" s="514">
        <v>0</v>
      </c>
      <c r="E301" s="514">
        <v>0</v>
      </c>
      <c r="F301" s="514">
        <v>0</v>
      </c>
      <c r="G301" s="514">
        <v>0</v>
      </c>
      <c r="H301" s="514">
        <v>0</v>
      </c>
      <c r="I301" s="514">
        <v>0</v>
      </c>
      <c r="J301" s="514">
        <v>0</v>
      </c>
      <c r="K301" s="514">
        <v>0</v>
      </c>
      <c r="L301" s="514">
        <v>0</v>
      </c>
      <c r="M301" s="514">
        <v>0</v>
      </c>
      <c r="N301" s="514">
        <v>0</v>
      </c>
      <c r="O301" s="499"/>
      <c r="P301" s="499"/>
      <c r="Q301" s="499"/>
    </row>
    <row r="302" spans="1:17" ht="14.4" x14ac:dyDescent="0.3">
      <c r="A302" s="502">
        <v>1310432</v>
      </c>
      <c r="B302" s="503" t="s">
        <v>2111</v>
      </c>
      <c r="C302" s="514">
        <v>0</v>
      </c>
      <c r="D302" s="514">
        <v>0</v>
      </c>
      <c r="E302" s="514">
        <v>0</v>
      </c>
      <c r="F302" s="514">
        <v>0</v>
      </c>
      <c r="G302" s="514">
        <v>0</v>
      </c>
      <c r="H302" s="514">
        <v>0</v>
      </c>
      <c r="I302" s="514">
        <v>0</v>
      </c>
      <c r="J302" s="514">
        <v>0</v>
      </c>
      <c r="K302" s="514">
        <v>0</v>
      </c>
      <c r="L302" s="514">
        <v>0</v>
      </c>
      <c r="M302" s="514">
        <v>0</v>
      </c>
      <c r="N302" s="514">
        <v>0</v>
      </c>
      <c r="O302" s="499"/>
      <c r="P302" s="499"/>
      <c r="Q302" s="499"/>
    </row>
    <row r="303" spans="1:17" ht="14.4" x14ac:dyDescent="0.3">
      <c r="A303" s="502">
        <v>1310433</v>
      </c>
      <c r="B303" s="503" t="s">
        <v>2112</v>
      </c>
      <c r="C303" s="514">
        <v>0</v>
      </c>
      <c r="D303" s="514">
        <v>0</v>
      </c>
      <c r="E303" s="514">
        <v>0</v>
      </c>
      <c r="F303" s="514">
        <v>0</v>
      </c>
      <c r="G303" s="514">
        <v>0</v>
      </c>
      <c r="H303" s="514">
        <v>0</v>
      </c>
      <c r="I303" s="514">
        <v>0</v>
      </c>
      <c r="J303" s="514">
        <v>0</v>
      </c>
      <c r="K303" s="514">
        <v>0</v>
      </c>
      <c r="L303" s="514">
        <v>0</v>
      </c>
      <c r="M303" s="514">
        <v>0</v>
      </c>
      <c r="N303" s="514">
        <v>0</v>
      </c>
      <c r="O303" s="499"/>
      <c r="P303" s="499"/>
      <c r="Q303" s="499"/>
    </row>
    <row r="304" spans="1:17" ht="14.4" x14ac:dyDescent="0.3">
      <c r="A304" s="502">
        <v>1310434</v>
      </c>
      <c r="B304" s="503" t="s">
        <v>2113</v>
      </c>
      <c r="C304" s="514">
        <v>0</v>
      </c>
      <c r="D304" s="514">
        <v>0</v>
      </c>
      <c r="E304" s="514">
        <v>0</v>
      </c>
      <c r="F304" s="514">
        <v>0</v>
      </c>
      <c r="G304" s="514">
        <v>0</v>
      </c>
      <c r="H304" s="514">
        <v>0</v>
      </c>
      <c r="I304" s="514">
        <v>0</v>
      </c>
      <c r="J304" s="514">
        <v>0</v>
      </c>
      <c r="K304" s="514">
        <v>0</v>
      </c>
      <c r="L304" s="514">
        <v>0</v>
      </c>
      <c r="M304" s="514">
        <v>0</v>
      </c>
      <c r="N304" s="514">
        <v>0</v>
      </c>
      <c r="O304" s="499"/>
      <c r="P304" s="499"/>
      <c r="Q304" s="499"/>
    </row>
    <row r="305" spans="1:17" ht="14.4" x14ac:dyDescent="0.3">
      <c r="A305" s="502">
        <v>1310435</v>
      </c>
      <c r="B305" s="503" t="s">
        <v>2114</v>
      </c>
      <c r="C305" s="514">
        <v>0</v>
      </c>
      <c r="D305" s="514">
        <v>0</v>
      </c>
      <c r="E305" s="514">
        <v>0</v>
      </c>
      <c r="F305" s="514">
        <v>0</v>
      </c>
      <c r="G305" s="514">
        <v>0</v>
      </c>
      <c r="H305" s="514">
        <v>0</v>
      </c>
      <c r="I305" s="514">
        <v>0</v>
      </c>
      <c r="J305" s="514">
        <v>0</v>
      </c>
      <c r="K305" s="514">
        <v>0</v>
      </c>
      <c r="L305" s="514">
        <v>0</v>
      </c>
      <c r="M305" s="514">
        <v>0</v>
      </c>
      <c r="N305" s="514">
        <v>0</v>
      </c>
      <c r="O305" s="499"/>
      <c r="P305" s="499"/>
      <c r="Q305" s="499"/>
    </row>
    <row r="306" spans="1:17" ht="14.4" x14ac:dyDescent="0.3">
      <c r="A306" s="502">
        <v>1310436</v>
      </c>
      <c r="B306" s="503" t="s">
        <v>2115</v>
      </c>
      <c r="C306" s="514">
        <v>0</v>
      </c>
      <c r="D306" s="514">
        <v>0</v>
      </c>
      <c r="E306" s="514">
        <v>0</v>
      </c>
      <c r="F306" s="514">
        <v>0</v>
      </c>
      <c r="G306" s="514">
        <v>0</v>
      </c>
      <c r="H306" s="514">
        <v>0</v>
      </c>
      <c r="I306" s="514">
        <v>0</v>
      </c>
      <c r="J306" s="514">
        <v>0</v>
      </c>
      <c r="K306" s="514">
        <v>0</v>
      </c>
      <c r="L306" s="514">
        <v>0</v>
      </c>
      <c r="M306" s="514">
        <v>0</v>
      </c>
      <c r="N306" s="514">
        <v>0</v>
      </c>
      <c r="O306" s="499"/>
      <c r="P306" s="499"/>
      <c r="Q306" s="499"/>
    </row>
    <row r="307" spans="1:17" ht="14.4" x14ac:dyDescent="0.3">
      <c r="A307" s="502">
        <v>1310437</v>
      </c>
      <c r="B307" s="503" t="s">
        <v>2116</v>
      </c>
      <c r="C307" s="514">
        <v>0</v>
      </c>
      <c r="D307" s="514">
        <v>0</v>
      </c>
      <c r="E307" s="514">
        <v>0</v>
      </c>
      <c r="F307" s="514">
        <v>0</v>
      </c>
      <c r="G307" s="514">
        <v>0</v>
      </c>
      <c r="H307" s="514">
        <v>0</v>
      </c>
      <c r="I307" s="514">
        <v>0</v>
      </c>
      <c r="J307" s="514">
        <v>0</v>
      </c>
      <c r="K307" s="514">
        <v>0</v>
      </c>
      <c r="L307" s="514">
        <v>0</v>
      </c>
      <c r="M307" s="514">
        <v>0</v>
      </c>
      <c r="N307" s="514">
        <v>0</v>
      </c>
      <c r="O307" s="499"/>
      <c r="P307" s="499"/>
      <c r="Q307" s="499"/>
    </row>
    <row r="308" spans="1:17" ht="14.4" x14ac:dyDescent="0.3">
      <c r="A308" s="502">
        <v>1310438</v>
      </c>
      <c r="B308" s="503" t="s">
        <v>2117</v>
      </c>
      <c r="C308" s="514">
        <v>0</v>
      </c>
      <c r="D308" s="514">
        <v>0</v>
      </c>
      <c r="E308" s="514">
        <v>0</v>
      </c>
      <c r="F308" s="514">
        <v>0</v>
      </c>
      <c r="G308" s="514">
        <v>0</v>
      </c>
      <c r="H308" s="514">
        <v>0</v>
      </c>
      <c r="I308" s="514">
        <v>0</v>
      </c>
      <c r="J308" s="514">
        <v>0</v>
      </c>
      <c r="K308" s="514">
        <v>0</v>
      </c>
      <c r="L308" s="514">
        <v>0</v>
      </c>
      <c r="M308" s="514">
        <v>0</v>
      </c>
      <c r="N308" s="514">
        <v>0</v>
      </c>
      <c r="O308" s="499"/>
      <c r="P308" s="499"/>
      <c r="Q308" s="499"/>
    </row>
    <row r="309" spans="1:17" ht="14.4" x14ac:dyDescent="0.3">
      <c r="A309" s="502">
        <v>1310440</v>
      </c>
      <c r="B309" s="503" t="s">
        <v>2118</v>
      </c>
      <c r="C309" s="514">
        <v>0</v>
      </c>
      <c r="D309" s="514">
        <v>0</v>
      </c>
      <c r="E309" s="514">
        <v>0</v>
      </c>
      <c r="F309" s="514">
        <v>0</v>
      </c>
      <c r="G309" s="514">
        <v>0</v>
      </c>
      <c r="H309" s="514">
        <v>0</v>
      </c>
      <c r="I309" s="514">
        <v>0</v>
      </c>
      <c r="J309" s="514">
        <v>0</v>
      </c>
      <c r="K309" s="514">
        <v>0</v>
      </c>
      <c r="L309" s="514">
        <v>0</v>
      </c>
      <c r="M309" s="514">
        <v>0</v>
      </c>
      <c r="N309" s="514">
        <v>0</v>
      </c>
      <c r="O309" s="499"/>
      <c r="P309" s="499"/>
      <c r="Q309" s="499"/>
    </row>
    <row r="310" spans="1:17" ht="14.4" x14ac:dyDescent="0.3">
      <c r="A310" s="502">
        <v>1310441</v>
      </c>
      <c r="B310" s="503" t="s">
        <v>2119</v>
      </c>
      <c r="C310" s="514">
        <v>0</v>
      </c>
      <c r="D310" s="514">
        <v>0</v>
      </c>
      <c r="E310" s="514">
        <v>0</v>
      </c>
      <c r="F310" s="514">
        <v>0</v>
      </c>
      <c r="G310" s="514">
        <v>0</v>
      </c>
      <c r="H310" s="514">
        <v>0</v>
      </c>
      <c r="I310" s="514">
        <v>0</v>
      </c>
      <c r="J310" s="514">
        <v>0</v>
      </c>
      <c r="K310" s="514">
        <v>0</v>
      </c>
      <c r="L310" s="514">
        <v>0</v>
      </c>
      <c r="M310" s="514">
        <v>0</v>
      </c>
      <c r="N310" s="514">
        <v>0</v>
      </c>
      <c r="O310" s="499"/>
      <c r="P310" s="499"/>
      <c r="Q310" s="499"/>
    </row>
    <row r="311" spans="1:17" ht="14.4" x14ac:dyDescent="0.3">
      <c r="A311" s="502">
        <v>1310442</v>
      </c>
      <c r="B311" s="503" t="s">
        <v>2120</v>
      </c>
      <c r="C311" s="514">
        <v>0</v>
      </c>
      <c r="D311" s="514">
        <v>0</v>
      </c>
      <c r="E311" s="514">
        <v>0</v>
      </c>
      <c r="F311" s="514">
        <v>0</v>
      </c>
      <c r="G311" s="514">
        <v>0</v>
      </c>
      <c r="H311" s="514">
        <v>0</v>
      </c>
      <c r="I311" s="514">
        <v>0</v>
      </c>
      <c r="J311" s="514">
        <v>0</v>
      </c>
      <c r="K311" s="514">
        <v>0</v>
      </c>
      <c r="L311" s="514">
        <v>0</v>
      </c>
      <c r="M311" s="514">
        <v>0</v>
      </c>
      <c r="N311" s="514">
        <v>0</v>
      </c>
      <c r="O311" s="499"/>
      <c r="P311" s="499"/>
      <c r="Q311" s="499"/>
    </row>
    <row r="312" spans="1:17" ht="14.4" x14ac:dyDescent="0.3">
      <c r="A312" s="502">
        <v>1310443</v>
      </c>
      <c r="B312" s="503" t="s">
        <v>2121</v>
      </c>
      <c r="C312" s="514">
        <v>0</v>
      </c>
      <c r="D312" s="514">
        <v>0</v>
      </c>
      <c r="E312" s="514">
        <v>0</v>
      </c>
      <c r="F312" s="514">
        <v>0</v>
      </c>
      <c r="G312" s="514">
        <v>0</v>
      </c>
      <c r="H312" s="514">
        <v>0</v>
      </c>
      <c r="I312" s="514">
        <v>0</v>
      </c>
      <c r="J312" s="514">
        <v>0</v>
      </c>
      <c r="K312" s="514">
        <v>0</v>
      </c>
      <c r="L312" s="514">
        <v>0</v>
      </c>
      <c r="M312" s="514">
        <v>0</v>
      </c>
      <c r="N312" s="514">
        <v>0</v>
      </c>
      <c r="O312" s="499"/>
      <c r="P312" s="499"/>
      <c r="Q312" s="499"/>
    </row>
    <row r="313" spans="1:17" ht="14.4" x14ac:dyDescent="0.3">
      <c r="A313" s="502">
        <v>1310444</v>
      </c>
      <c r="B313" s="503" t="s">
        <v>2122</v>
      </c>
      <c r="C313" s="514">
        <v>0</v>
      </c>
      <c r="D313" s="514">
        <v>0</v>
      </c>
      <c r="E313" s="514">
        <v>0</v>
      </c>
      <c r="F313" s="514">
        <v>0</v>
      </c>
      <c r="G313" s="514">
        <v>0</v>
      </c>
      <c r="H313" s="514">
        <v>0</v>
      </c>
      <c r="I313" s="514">
        <v>0</v>
      </c>
      <c r="J313" s="514">
        <v>0</v>
      </c>
      <c r="K313" s="514">
        <v>0</v>
      </c>
      <c r="L313" s="514">
        <v>0</v>
      </c>
      <c r="M313" s="514">
        <v>0</v>
      </c>
      <c r="N313" s="514">
        <v>0</v>
      </c>
      <c r="O313" s="499"/>
      <c r="P313" s="499"/>
      <c r="Q313" s="499"/>
    </row>
    <row r="314" spans="1:17" ht="14.4" x14ac:dyDescent="0.3">
      <c r="A314" s="502">
        <v>1310445</v>
      </c>
      <c r="B314" s="503" t="s">
        <v>2123</v>
      </c>
      <c r="C314" s="514">
        <v>0</v>
      </c>
      <c r="D314" s="514">
        <v>0</v>
      </c>
      <c r="E314" s="514">
        <v>0</v>
      </c>
      <c r="F314" s="514">
        <v>0</v>
      </c>
      <c r="G314" s="514">
        <v>0</v>
      </c>
      <c r="H314" s="514">
        <v>0</v>
      </c>
      <c r="I314" s="514">
        <v>0</v>
      </c>
      <c r="J314" s="514">
        <v>0</v>
      </c>
      <c r="K314" s="514">
        <v>0</v>
      </c>
      <c r="L314" s="514">
        <v>0</v>
      </c>
      <c r="M314" s="514">
        <v>0</v>
      </c>
      <c r="N314" s="514">
        <v>0</v>
      </c>
      <c r="O314" s="499"/>
      <c r="P314" s="499"/>
      <c r="Q314" s="499"/>
    </row>
    <row r="315" spans="1:17" ht="14.4" x14ac:dyDescent="0.3">
      <c r="A315" s="502">
        <v>1310446</v>
      </c>
      <c r="B315" s="503" t="s">
        <v>2124</v>
      </c>
      <c r="C315" s="514">
        <v>0</v>
      </c>
      <c r="D315" s="514">
        <v>0</v>
      </c>
      <c r="E315" s="514">
        <v>0</v>
      </c>
      <c r="F315" s="514">
        <v>0</v>
      </c>
      <c r="G315" s="514">
        <v>0</v>
      </c>
      <c r="H315" s="514">
        <v>0</v>
      </c>
      <c r="I315" s="514">
        <v>0</v>
      </c>
      <c r="J315" s="514">
        <v>0</v>
      </c>
      <c r="K315" s="514">
        <v>0</v>
      </c>
      <c r="L315" s="514">
        <v>0</v>
      </c>
      <c r="M315" s="514">
        <v>0</v>
      </c>
      <c r="N315" s="514">
        <v>0</v>
      </c>
      <c r="O315" s="499"/>
      <c r="P315" s="499"/>
      <c r="Q315" s="499"/>
    </row>
    <row r="316" spans="1:17" ht="14.4" x14ac:dyDescent="0.3">
      <c r="A316" s="502">
        <v>1310447</v>
      </c>
      <c r="B316" s="503" t="s">
        <v>2125</v>
      </c>
      <c r="C316" s="514">
        <v>0</v>
      </c>
      <c r="D316" s="514">
        <v>0</v>
      </c>
      <c r="E316" s="514">
        <v>0</v>
      </c>
      <c r="F316" s="514">
        <v>0</v>
      </c>
      <c r="G316" s="514">
        <v>0</v>
      </c>
      <c r="H316" s="514">
        <v>0</v>
      </c>
      <c r="I316" s="514">
        <v>0</v>
      </c>
      <c r="J316" s="514">
        <v>0</v>
      </c>
      <c r="K316" s="514">
        <v>0</v>
      </c>
      <c r="L316" s="514">
        <v>0</v>
      </c>
      <c r="M316" s="514">
        <v>0</v>
      </c>
      <c r="N316" s="514">
        <v>0</v>
      </c>
      <c r="O316" s="499"/>
      <c r="P316" s="499"/>
      <c r="Q316" s="499"/>
    </row>
    <row r="317" spans="1:17" ht="14.4" x14ac:dyDescent="0.3">
      <c r="A317" s="502">
        <v>1310448</v>
      </c>
      <c r="B317" s="503" t="s">
        <v>2126</v>
      </c>
      <c r="C317" s="514">
        <v>0</v>
      </c>
      <c r="D317" s="514">
        <v>0</v>
      </c>
      <c r="E317" s="514">
        <v>0</v>
      </c>
      <c r="F317" s="514">
        <v>0</v>
      </c>
      <c r="G317" s="514">
        <v>0</v>
      </c>
      <c r="H317" s="514">
        <v>0</v>
      </c>
      <c r="I317" s="514">
        <v>0</v>
      </c>
      <c r="J317" s="514">
        <v>0</v>
      </c>
      <c r="K317" s="514">
        <v>0</v>
      </c>
      <c r="L317" s="514">
        <v>0</v>
      </c>
      <c r="M317" s="514">
        <v>0</v>
      </c>
      <c r="N317" s="514">
        <v>0</v>
      </c>
      <c r="O317" s="499"/>
      <c r="P317" s="499"/>
      <c r="Q317" s="499"/>
    </row>
    <row r="318" spans="1:17" ht="14.4" x14ac:dyDescent="0.3">
      <c r="A318" s="502">
        <v>1310450</v>
      </c>
      <c r="B318" s="503" t="s">
        <v>2127</v>
      </c>
      <c r="C318" s="514">
        <v>0</v>
      </c>
      <c r="D318" s="514">
        <v>0</v>
      </c>
      <c r="E318" s="514">
        <v>0</v>
      </c>
      <c r="F318" s="514">
        <v>0</v>
      </c>
      <c r="G318" s="514">
        <v>0</v>
      </c>
      <c r="H318" s="514">
        <v>0</v>
      </c>
      <c r="I318" s="514">
        <v>0</v>
      </c>
      <c r="J318" s="514">
        <v>0</v>
      </c>
      <c r="K318" s="514">
        <v>0</v>
      </c>
      <c r="L318" s="514">
        <v>0</v>
      </c>
      <c r="M318" s="514">
        <v>0</v>
      </c>
      <c r="N318" s="514">
        <v>0</v>
      </c>
      <c r="O318" s="499"/>
      <c r="P318" s="499"/>
      <c r="Q318" s="499"/>
    </row>
    <row r="319" spans="1:17" ht="14.4" x14ac:dyDescent="0.3">
      <c r="A319" s="502">
        <v>1310460</v>
      </c>
      <c r="B319" s="503" t="s">
        <v>2128</v>
      </c>
      <c r="C319" s="514">
        <v>0</v>
      </c>
      <c r="D319" s="514">
        <v>0</v>
      </c>
      <c r="E319" s="514">
        <v>0</v>
      </c>
      <c r="F319" s="514">
        <v>0</v>
      </c>
      <c r="G319" s="514">
        <v>0</v>
      </c>
      <c r="H319" s="514">
        <v>0</v>
      </c>
      <c r="I319" s="514">
        <v>0</v>
      </c>
      <c r="J319" s="514">
        <v>0</v>
      </c>
      <c r="K319" s="514">
        <v>0</v>
      </c>
      <c r="L319" s="514">
        <v>0</v>
      </c>
      <c r="M319" s="514">
        <v>0</v>
      </c>
      <c r="N319" s="514">
        <v>0</v>
      </c>
      <c r="O319" s="499"/>
      <c r="P319" s="499"/>
      <c r="Q319" s="499"/>
    </row>
    <row r="320" spans="1:17" ht="14.4" x14ac:dyDescent="0.3">
      <c r="A320" s="502">
        <v>1310470</v>
      </c>
      <c r="B320" s="503" t="s">
        <v>2129</v>
      </c>
      <c r="C320" s="514">
        <v>0</v>
      </c>
      <c r="D320" s="514">
        <v>0</v>
      </c>
      <c r="E320" s="514">
        <v>0</v>
      </c>
      <c r="F320" s="514">
        <v>0</v>
      </c>
      <c r="G320" s="514">
        <v>0</v>
      </c>
      <c r="H320" s="514">
        <v>0</v>
      </c>
      <c r="I320" s="514">
        <v>0</v>
      </c>
      <c r="J320" s="514">
        <v>0</v>
      </c>
      <c r="K320" s="514">
        <v>0</v>
      </c>
      <c r="L320" s="514">
        <v>0</v>
      </c>
      <c r="M320" s="514">
        <v>0</v>
      </c>
      <c r="N320" s="514">
        <v>0</v>
      </c>
      <c r="O320" s="499"/>
      <c r="P320" s="499"/>
      <c r="Q320" s="499"/>
    </row>
    <row r="321" spans="1:17" ht="14.4" x14ac:dyDescent="0.3">
      <c r="A321" s="502">
        <v>1310480</v>
      </c>
      <c r="B321" s="503" t="s">
        <v>2130</v>
      </c>
      <c r="C321" s="514">
        <v>0</v>
      </c>
      <c r="D321" s="514">
        <v>0</v>
      </c>
      <c r="E321" s="514">
        <v>0</v>
      </c>
      <c r="F321" s="514">
        <v>0</v>
      </c>
      <c r="G321" s="514">
        <v>0</v>
      </c>
      <c r="H321" s="514">
        <v>0</v>
      </c>
      <c r="I321" s="514">
        <v>0</v>
      </c>
      <c r="J321" s="514">
        <v>0</v>
      </c>
      <c r="K321" s="514">
        <v>0</v>
      </c>
      <c r="L321" s="514">
        <v>0</v>
      </c>
      <c r="M321" s="514">
        <v>0</v>
      </c>
      <c r="N321" s="514">
        <v>0</v>
      </c>
      <c r="O321" s="499"/>
      <c r="P321" s="499"/>
      <c r="Q321" s="499"/>
    </row>
    <row r="322" spans="1:17" ht="14.4" x14ac:dyDescent="0.3">
      <c r="A322" s="502">
        <v>1310490</v>
      </c>
      <c r="B322" s="503" t="s">
        <v>2131</v>
      </c>
      <c r="C322" s="514">
        <v>0</v>
      </c>
      <c r="D322" s="514">
        <v>0</v>
      </c>
      <c r="E322" s="514">
        <v>0</v>
      </c>
      <c r="F322" s="514">
        <v>0</v>
      </c>
      <c r="G322" s="514">
        <v>0</v>
      </c>
      <c r="H322" s="514">
        <v>0</v>
      </c>
      <c r="I322" s="514">
        <v>0</v>
      </c>
      <c r="J322" s="514">
        <v>0</v>
      </c>
      <c r="K322" s="514">
        <v>0</v>
      </c>
      <c r="L322" s="514">
        <v>0</v>
      </c>
      <c r="M322" s="514">
        <v>0</v>
      </c>
      <c r="N322" s="514">
        <v>0</v>
      </c>
      <c r="O322" s="499"/>
      <c r="P322" s="499"/>
      <c r="Q322" s="499"/>
    </row>
    <row r="323" spans="1:17" ht="14.4" x14ac:dyDescent="0.3">
      <c r="A323" s="502">
        <v>1310500</v>
      </c>
      <c r="B323" s="503" t="s">
        <v>2132</v>
      </c>
      <c r="C323" s="514">
        <v>0</v>
      </c>
      <c r="D323" s="514">
        <v>0</v>
      </c>
      <c r="E323" s="514">
        <v>0</v>
      </c>
      <c r="F323" s="514">
        <v>0</v>
      </c>
      <c r="G323" s="514">
        <v>0</v>
      </c>
      <c r="H323" s="514">
        <v>0</v>
      </c>
      <c r="I323" s="514">
        <v>0</v>
      </c>
      <c r="J323" s="514">
        <v>0</v>
      </c>
      <c r="K323" s="514">
        <v>0</v>
      </c>
      <c r="L323" s="514">
        <v>0</v>
      </c>
      <c r="M323" s="514">
        <v>0</v>
      </c>
      <c r="N323" s="514">
        <v>0</v>
      </c>
      <c r="O323" s="499"/>
      <c r="P323" s="499"/>
      <c r="Q323" s="499"/>
    </row>
    <row r="324" spans="1:17" ht="14.4" x14ac:dyDescent="0.3">
      <c r="A324" s="502">
        <v>1310510</v>
      </c>
      <c r="B324" s="503" t="s">
        <v>2133</v>
      </c>
      <c r="C324" s="514">
        <v>0</v>
      </c>
      <c r="D324" s="514">
        <v>0</v>
      </c>
      <c r="E324" s="514">
        <v>0</v>
      </c>
      <c r="F324" s="514">
        <v>0</v>
      </c>
      <c r="G324" s="514">
        <v>0</v>
      </c>
      <c r="H324" s="514">
        <v>0</v>
      </c>
      <c r="I324" s="514">
        <v>0</v>
      </c>
      <c r="J324" s="514">
        <v>0</v>
      </c>
      <c r="K324" s="514">
        <v>0</v>
      </c>
      <c r="L324" s="514">
        <v>0</v>
      </c>
      <c r="M324" s="514">
        <v>0</v>
      </c>
      <c r="N324" s="514">
        <v>0</v>
      </c>
      <c r="O324" s="499"/>
      <c r="P324" s="499"/>
      <c r="Q324" s="499"/>
    </row>
    <row r="325" spans="1:17" ht="14.4" x14ac:dyDescent="0.3">
      <c r="A325" s="502">
        <v>1310520</v>
      </c>
      <c r="B325" s="503" t="s">
        <v>2134</v>
      </c>
      <c r="C325" s="514">
        <v>0</v>
      </c>
      <c r="D325" s="514">
        <v>0</v>
      </c>
      <c r="E325" s="514">
        <v>0</v>
      </c>
      <c r="F325" s="514">
        <v>0</v>
      </c>
      <c r="G325" s="514">
        <v>0</v>
      </c>
      <c r="H325" s="514">
        <v>0</v>
      </c>
      <c r="I325" s="514">
        <v>0</v>
      </c>
      <c r="J325" s="514">
        <v>0</v>
      </c>
      <c r="K325" s="514">
        <v>0</v>
      </c>
      <c r="L325" s="514">
        <v>0</v>
      </c>
      <c r="M325" s="514">
        <v>0</v>
      </c>
      <c r="N325" s="514">
        <v>0</v>
      </c>
      <c r="O325" s="499"/>
      <c r="P325" s="499"/>
      <c r="Q325" s="499"/>
    </row>
    <row r="326" spans="1:17" ht="14.4" x14ac:dyDescent="0.3">
      <c r="A326" s="502">
        <v>1310521</v>
      </c>
      <c r="B326" s="503" t="s">
        <v>2135</v>
      </c>
      <c r="C326" s="514">
        <v>0</v>
      </c>
      <c r="D326" s="514">
        <v>0</v>
      </c>
      <c r="E326" s="514">
        <v>0</v>
      </c>
      <c r="F326" s="514">
        <v>0</v>
      </c>
      <c r="G326" s="514">
        <v>0</v>
      </c>
      <c r="H326" s="514">
        <v>0</v>
      </c>
      <c r="I326" s="514">
        <v>0</v>
      </c>
      <c r="J326" s="514">
        <v>0</v>
      </c>
      <c r="K326" s="514">
        <v>0</v>
      </c>
      <c r="L326" s="514">
        <v>0</v>
      </c>
      <c r="M326" s="514">
        <v>0</v>
      </c>
      <c r="N326" s="514">
        <v>0</v>
      </c>
      <c r="O326" s="499"/>
      <c r="P326" s="499"/>
      <c r="Q326" s="499"/>
    </row>
    <row r="327" spans="1:17" ht="14.4" x14ac:dyDescent="0.3">
      <c r="A327" s="502">
        <v>1310522</v>
      </c>
      <c r="B327" s="503" t="s">
        <v>2136</v>
      </c>
      <c r="C327" s="514">
        <v>0</v>
      </c>
      <c r="D327" s="514">
        <v>0</v>
      </c>
      <c r="E327" s="514">
        <v>0</v>
      </c>
      <c r="F327" s="514">
        <v>0</v>
      </c>
      <c r="G327" s="514">
        <v>0</v>
      </c>
      <c r="H327" s="514">
        <v>0</v>
      </c>
      <c r="I327" s="514">
        <v>0</v>
      </c>
      <c r="J327" s="514">
        <v>0</v>
      </c>
      <c r="K327" s="514">
        <v>0</v>
      </c>
      <c r="L327" s="514">
        <v>0</v>
      </c>
      <c r="M327" s="514">
        <v>0</v>
      </c>
      <c r="N327" s="514">
        <v>0</v>
      </c>
      <c r="O327" s="499"/>
      <c r="P327" s="499"/>
      <c r="Q327" s="499"/>
    </row>
    <row r="328" spans="1:17" ht="14.4" x14ac:dyDescent="0.3">
      <c r="A328" s="502">
        <v>1310523</v>
      </c>
      <c r="B328" s="503" t="s">
        <v>2137</v>
      </c>
      <c r="C328" s="514">
        <v>0</v>
      </c>
      <c r="D328" s="514">
        <v>0</v>
      </c>
      <c r="E328" s="514">
        <v>0</v>
      </c>
      <c r="F328" s="514">
        <v>0</v>
      </c>
      <c r="G328" s="514">
        <v>0</v>
      </c>
      <c r="H328" s="514">
        <v>0</v>
      </c>
      <c r="I328" s="514">
        <v>0</v>
      </c>
      <c r="J328" s="514">
        <v>0</v>
      </c>
      <c r="K328" s="514">
        <v>0</v>
      </c>
      <c r="L328" s="514">
        <v>0</v>
      </c>
      <c r="M328" s="514">
        <v>0</v>
      </c>
      <c r="N328" s="514">
        <v>0</v>
      </c>
      <c r="O328" s="499"/>
      <c r="P328" s="499"/>
      <c r="Q328" s="499"/>
    </row>
    <row r="329" spans="1:17" ht="14.4" x14ac:dyDescent="0.3">
      <c r="A329" s="502">
        <v>1310524</v>
      </c>
      <c r="B329" s="503" t="s">
        <v>2138</v>
      </c>
      <c r="C329" s="514">
        <v>0</v>
      </c>
      <c r="D329" s="514">
        <v>0</v>
      </c>
      <c r="E329" s="514">
        <v>0</v>
      </c>
      <c r="F329" s="514">
        <v>0</v>
      </c>
      <c r="G329" s="514">
        <v>0</v>
      </c>
      <c r="H329" s="514">
        <v>0</v>
      </c>
      <c r="I329" s="514">
        <v>0</v>
      </c>
      <c r="J329" s="514">
        <v>0</v>
      </c>
      <c r="K329" s="514">
        <v>0</v>
      </c>
      <c r="L329" s="514">
        <v>0</v>
      </c>
      <c r="M329" s="514">
        <v>0</v>
      </c>
      <c r="N329" s="514">
        <v>0</v>
      </c>
      <c r="O329" s="499"/>
      <c r="P329" s="499"/>
      <c r="Q329" s="499"/>
    </row>
    <row r="330" spans="1:17" ht="14.4" x14ac:dyDescent="0.3">
      <c r="A330" s="502">
        <v>1310525</v>
      </c>
      <c r="B330" s="503" t="s">
        <v>2139</v>
      </c>
      <c r="C330" s="514">
        <v>0</v>
      </c>
      <c r="D330" s="514">
        <v>0</v>
      </c>
      <c r="E330" s="514">
        <v>0</v>
      </c>
      <c r="F330" s="514">
        <v>0</v>
      </c>
      <c r="G330" s="514">
        <v>0</v>
      </c>
      <c r="H330" s="514">
        <v>0</v>
      </c>
      <c r="I330" s="514">
        <v>0</v>
      </c>
      <c r="J330" s="514">
        <v>0</v>
      </c>
      <c r="K330" s="514">
        <v>0</v>
      </c>
      <c r="L330" s="514">
        <v>0</v>
      </c>
      <c r="M330" s="514">
        <v>0</v>
      </c>
      <c r="N330" s="514">
        <v>0</v>
      </c>
      <c r="O330" s="499"/>
      <c r="P330" s="499"/>
      <c r="Q330" s="499"/>
    </row>
    <row r="331" spans="1:17" ht="14.4" x14ac:dyDescent="0.3">
      <c r="A331" s="502">
        <v>1310526</v>
      </c>
      <c r="B331" s="503" t="s">
        <v>2140</v>
      </c>
      <c r="C331" s="514">
        <v>0</v>
      </c>
      <c r="D331" s="514">
        <v>0</v>
      </c>
      <c r="E331" s="514">
        <v>0</v>
      </c>
      <c r="F331" s="514">
        <v>0</v>
      </c>
      <c r="G331" s="514">
        <v>0</v>
      </c>
      <c r="H331" s="514">
        <v>0</v>
      </c>
      <c r="I331" s="514">
        <v>0</v>
      </c>
      <c r="J331" s="514">
        <v>0</v>
      </c>
      <c r="K331" s="514">
        <v>0</v>
      </c>
      <c r="L331" s="514">
        <v>0</v>
      </c>
      <c r="M331" s="514">
        <v>0</v>
      </c>
      <c r="N331" s="514">
        <v>0</v>
      </c>
      <c r="O331" s="499"/>
      <c r="P331" s="499"/>
      <c r="Q331" s="499"/>
    </row>
    <row r="332" spans="1:17" ht="14.4" x14ac:dyDescent="0.3">
      <c r="A332" s="502">
        <v>1310527</v>
      </c>
      <c r="B332" s="503" t="s">
        <v>2141</v>
      </c>
      <c r="C332" s="514">
        <v>0</v>
      </c>
      <c r="D332" s="514">
        <v>0</v>
      </c>
      <c r="E332" s="514">
        <v>0</v>
      </c>
      <c r="F332" s="514">
        <v>0</v>
      </c>
      <c r="G332" s="514">
        <v>0</v>
      </c>
      <c r="H332" s="514">
        <v>0</v>
      </c>
      <c r="I332" s="514">
        <v>0</v>
      </c>
      <c r="J332" s="514">
        <v>0</v>
      </c>
      <c r="K332" s="514">
        <v>0</v>
      </c>
      <c r="L332" s="514">
        <v>0</v>
      </c>
      <c r="M332" s="514">
        <v>0</v>
      </c>
      <c r="N332" s="514">
        <v>0</v>
      </c>
      <c r="O332" s="499"/>
      <c r="P332" s="499"/>
      <c r="Q332" s="499"/>
    </row>
    <row r="333" spans="1:17" ht="14.4" x14ac:dyDescent="0.3">
      <c r="A333" s="502">
        <v>1310528</v>
      </c>
      <c r="B333" s="503" t="s">
        <v>2142</v>
      </c>
      <c r="C333" s="514">
        <v>0</v>
      </c>
      <c r="D333" s="514">
        <v>0</v>
      </c>
      <c r="E333" s="514">
        <v>0</v>
      </c>
      <c r="F333" s="514">
        <v>0</v>
      </c>
      <c r="G333" s="514">
        <v>0</v>
      </c>
      <c r="H333" s="514">
        <v>0</v>
      </c>
      <c r="I333" s="514">
        <v>0</v>
      </c>
      <c r="J333" s="514">
        <v>0</v>
      </c>
      <c r="K333" s="514">
        <v>0</v>
      </c>
      <c r="L333" s="514">
        <v>0</v>
      </c>
      <c r="M333" s="514">
        <v>0</v>
      </c>
      <c r="N333" s="514">
        <v>0</v>
      </c>
      <c r="O333" s="499"/>
      <c r="P333" s="499"/>
      <c r="Q333" s="499"/>
    </row>
    <row r="334" spans="1:17" ht="14.4" x14ac:dyDescent="0.3">
      <c r="A334" s="502">
        <v>1310530</v>
      </c>
      <c r="B334" s="503" t="s">
        <v>2143</v>
      </c>
      <c r="C334" s="514">
        <v>0</v>
      </c>
      <c r="D334" s="514">
        <v>0</v>
      </c>
      <c r="E334" s="514">
        <v>0</v>
      </c>
      <c r="F334" s="514">
        <v>0</v>
      </c>
      <c r="G334" s="514">
        <v>0</v>
      </c>
      <c r="H334" s="514">
        <v>0</v>
      </c>
      <c r="I334" s="514">
        <v>0</v>
      </c>
      <c r="J334" s="514">
        <v>0</v>
      </c>
      <c r="K334" s="514">
        <v>0</v>
      </c>
      <c r="L334" s="514">
        <v>0</v>
      </c>
      <c r="M334" s="514">
        <v>0</v>
      </c>
      <c r="N334" s="514">
        <v>0</v>
      </c>
      <c r="O334" s="499"/>
      <c r="P334" s="499"/>
      <c r="Q334" s="499"/>
    </row>
    <row r="335" spans="1:17" ht="14.4" x14ac:dyDescent="0.3">
      <c r="A335" s="502">
        <v>1310531</v>
      </c>
      <c r="B335" s="503" t="s">
        <v>2144</v>
      </c>
      <c r="C335" s="514">
        <v>0</v>
      </c>
      <c r="D335" s="514">
        <v>0</v>
      </c>
      <c r="E335" s="514">
        <v>0</v>
      </c>
      <c r="F335" s="514">
        <v>0</v>
      </c>
      <c r="G335" s="514">
        <v>0</v>
      </c>
      <c r="H335" s="514">
        <v>0</v>
      </c>
      <c r="I335" s="514">
        <v>0</v>
      </c>
      <c r="J335" s="514">
        <v>0</v>
      </c>
      <c r="K335" s="514">
        <v>0</v>
      </c>
      <c r="L335" s="514">
        <v>0</v>
      </c>
      <c r="M335" s="514">
        <v>0</v>
      </c>
      <c r="N335" s="514">
        <v>0</v>
      </c>
      <c r="O335" s="499"/>
      <c r="P335" s="499"/>
      <c r="Q335" s="499"/>
    </row>
    <row r="336" spans="1:17" ht="14.4" x14ac:dyDescent="0.3">
      <c r="A336" s="502">
        <v>1310532</v>
      </c>
      <c r="B336" s="503" t="s">
        <v>2145</v>
      </c>
      <c r="C336" s="514">
        <v>0</v>
      </c>
      <c r="D336" s="514">
        <v>0</v>
      </c>
      <c r="E336" s="514">
        <v>0</v>
      </c>
      <c r="F336" s="514">
        <v>0</v>
      </c>
      <c r="G336" s="514">
        <v>0</v>
      </c>
      <c r="H336" s="514">
        <v>0</v>
      </c>
      <c r="I336" s="514">
        <v>0</v>
      </c>
      <c r="J336" s="514">
        <v>0</v>
      </c>
      <c r="K336" s="514">
        <v>0</v>
      </c>
      <c r="L336" s="514">
        <v>0</v>
      </c>
      <c r="M336" s="514">
        <v>0</v>
      </c>
      <c r="N336" s="514">
        <v>0</v>
      </c>
      <c r="O336" s="499"/>
      <c r="P336" s="499"/>
      <c r="Q336" s="499"/>
    </row>
    <row r="337" spans="1:17" ht="14.4" x14ac:dyDescent="0.3">
      <c r="A337" s="502">
        <v>1310533</v>
      </c>
      <c r="B337" s="503" t="s">
        <v>2146</v>
      </c>
      <c r="C337" s="514">
        <v>0</v>
      </c>
      <c r="D337" s="514">
        <v>0</v>
      </c>
      <c r="E337" s="514">
        <v>0</v>
      </c>
      <c r="F337" s="514">
        <v>0</v>
      </c>
      <c r="G337" s="514">
        <v>0</v>
      </c>
      <c r="H337" s="514">
        <v>0</v>
      </c>
      <c r="I337" s="514">
        <v>0</v>
      </c>
      <c r="J337" s="514">
        <v>0</v>
      </c>
      <c r="K337" s="514">
        <v>0</v>
      </c>
      <c r="L337" s="514">
        <v>0</v>
      </c>
      <c r="M337" s="514">
        <v>0</v>
      </c>
      <c r="N337" s="514">
        <v>0</v>
      </c>
      <c r="O337" s="499"/>
      <c r="P337" s="499"/>
      <c r="Q337" s="499"/>
    </row>
    <row r="338" spans="1:17" ht="14.4" x14ac:dyDescent="0.3">
      <c r="A338" s="502">
        <v>1310534</v>
      </c>
      <c r="B338" s="503" t="s">
        <v>2147</v>
      </c>
      <c r="C338" s="514">
        <v>0</v>
      </c>
      <c r="D338" s="514">
        <v>0</v>
      </c>
      <c r="E338" s="514">
        <v>0</v>
      </c>
      <c r="F338" s="514">
        <v>0</v>
      </c>
      <c r="G338" s="514">
        <v>0</v>
      </c>
      <c r="H338" s="514">
        <v>0</v>
      </c>
      <c r="I338" s="514">
        <v>0</v>
      </c>
      <c r="J338" s="514">
        <v>0</v>
      </c>
      <c r="K338" s="514">
        <v>0</v>
      </c>
      <c r="L338" s="514">
        <v>0</v>
      </c>
      <c r="M338" s="514">
        <v>0</v>
      </c>
      <c r="N338" s="514">
        <v>0</v>
      </c>
      <c r="O338" s="499"/>
      <c r="P338" s="499"/>
      <c r="Q338" s="499"/>
    </row>
    <row r="339" spans="1:17" ht="14.4" x14ac:dyDescent="0.3">
      <c r="A339" s="502">
        <v>1310535</v>
      </c>
      <c r="B339" s="503" t="s">
        <v>2148</v>
      </c>
      <c r="C339" s="514">
        <v>0</v>
      </c>
      <c r="D339" s="514">
        <v>0</v>
      </c>
      <c r="E339" s="514">
        <v>0</v>
      </c>
      <c r="F339" s="514">
        <v>0</v>
      </c>
      <c r="G339" s="514">
        <v>0</v>
      </c>
      <c r="H339" s="514">
        <v>0</v>
      </c>
      <c r="I339" s="514">
        <v>0</v>
      </c>
      <c r="J339" s="514">
        <v>0</v>
      </c>
      <c r="K339" s="514">
        <v>0</v>
      </c>
      <c r="L339" s="514">
        <v>0</v>
      </c>
      <c r="M339" s="514">
        <v>0</v>
      </c>
      <c r="N339" s="514">
        <v>0</v>
      </c>
      <c r="O339" s="499"/>
      <c r="P339" s="499"/>
      <c r="Q339" s="499"/>
    </row>
    <row r="340" spans="1:17" ht="14.4" x14ac:dyDescent="0.3">
      <c r="A340" s="502">
        <v>1310536</v>
      </c>
      <c r="B340" s="503" t="s">
        <v>2149</v>
      </c>
      <c r="C340" s="514">
        <v>0</v>
      </c>
      <c r="D340" s="514">
        <v>0</v>
      </c>
      <c r="E340" s="514">
        <v>0</v>
      </c>
      <c r="F340" s="514">
        <v>0</v>
      </c>
      <c r="G340" s="514">
        <v>0</v>
      </c>
      <c r="H340" s="514">
        <v>0</v>
      </c>
      <c r="I340" s="514">
        <v>0</v>
      </c>
      <c r="J340" s="514">
        <v>0</v>
      </c>
      <c r="K340" s="514">
        <v>0</v>
      </c>
      <c r="L340" s="514">
        <v>0</v>
      </c>
      <c r="M340" s="514">
        <v>0</v>
      </c>
      <c r="N340" s="514">
        <v>0</v>
      </c>
      <c r="O340" s="499"/>
      <c r="P340" s="499"/>
      <c r="Q340" s="499"/>
    </row>
    <row r="341" spans="1:17" ht="14.4" x14ac:dyDescent="0.3">
      <c r="A341" s="502">
        <v>1310537</v>
      </c>
      <c r="B341" s="503" t="s">
        <v>2150</v>
      </c>
      <c r="C341" s="514">
        <v>0</v>
      </c>
      <c r="D341" s="514">
        <v>0</v>
      </c>
      <c r="E341" s="514">
        <v>0</v>
      </c>
      <c r="F341" s="514">
        <v>0</v>
      </c>
      <c r="G341" s="514">
        <v>0</v>
      </c>
      <c r="H341" s="514">
        <v>0</v>
      </c>
      <c r="I341" s="514">
        <v>0</v>
      </c>
      <c r="J341" s="514">
        <v>0</v>
      </c>
      <c r="K341" s="514">
        <v>0</v>
      </c>
      <c r="L341" s="514">
        <v>0</v>
      </c>
      <c r="M341" s="514">
        <v>0</v>
      </c>
      <c r="N341" s="514">
        <v>0</v>
      </c>
      <c r="O341" s="499"/>
      <c r="P341" s="499"/>
      <c r="Q341" s="499"/>
    </row>
    <row r="342" spans="1:17" ht="14.4" x14ac:dyDescent="0.3">
      <c r="A342" s="502">
        <v>1310538</v>
      </c>
      <c r="B342" s="503" t="s">
        <v>2151</v>
      </c>
      <c r="C342" s="514">
        <v>0</v>
      </c>
      <c r="D342" s="514">
        <v>0</v>
      </c>
      <c r="E342" s="514">
        <v>0</v>
      </c>
      <c r="F342" s="514">
        <v>0</v>
      </c>
      <c r="G342" s="514">
        <v>0</v>
      </c>
      <c r="H342" s="514">
        <v>0</v>
      </c>
      <c r="I342" s="514">
        <v>0</v>
      </c>
      <c r="J342" s="514">
        <v>0</v>
      </c>
      <c r="K342" s="514">
        <v>0</v>
      </c>
      <c r="L342" s="514">
        <v>0</v>
      </c>
      <c r="M342" s="514">
        <v>0</v>
      </c>
      <c r="N342" s="514">
        <v>0</v>
      </c>
      <c r="O342" s="499"/>
      <c r="P342" s="499"/>
      <c r="Q342" s="499"/>
    </row>
    <row r="343" spans="1:17" ht="14.4" x14ac:dyDescent="0.3">
      <c r="A343" s="502">
        <v>1310540</v>
      </c>
      <c r="B343" s="503" t="s">
        <v>2152</v>
      </c>
      <c r="C343" s="514">
        <v>0</v>
      </c>
      <c r="D343" s="514">
        <v>0</v>
      </c>
      <c r="E343" s="514">
        <v>0</v>
      </c>
      <c r="F343" s="514">
        <v>0</v>
      </c>
      <c r="G343" s="514">
        <v>0</v>
      </c>
      <c r="H343" s="514">
        <v>0</v>
      </c>
      <c r="I343" s="514">
        <v>0</v>
      </c>
      <c r="J343" s="514">
        <v>0</v>
      </c>
      <c r="K343" s="514">
        <v>0</v>
      </c>
      <c r="L343" s="514">
        <v>0</v>
      </c>
      <c r="M343" s="514">
        <v>0</v>
      </c>
      <c r="N343" s="514">
        <v>0</v>
      </c>
      <c r="O343" s="499"/>
      <c r="P343" s="499"/>
      <c r="Q343" s="499"/>
    </row>
    <row r="344" spans="1:17" ht="14.4" x14ac:dyDescent="0.3">
      <c r="A344" s="502">
        <v>1310541</v>
      </c>
      <c r="B344" s="503" t="s">
        <v>2153</v>
      </c>
      <c r="C344" s="514">
        <v>0</v>
      </c>
      <c r="D344" s="514">
        <v>0</v>
      </c>
      <c r="E344" s="514">
        <v>0</v>
      </c>
      <c r="F344" s="514">
        <v>0</v>
      </c>
      <c r="G344" s="514">
        <v>0</v>
      </c>
      <c r="H344" s="514">
        <v>0</v>
      </c>
      <c r="I344" s="514">
        <v>0</v>
      </c>
      <c r="J344" s="514">
        <v>0</v>
      </c>
      <c r="K344" s="514">
        <v>0</v>
      </c>
      <c r="L344" s="514">
        <v>0</v>
      </c>
      <c r="M344" s="514">
        <v>0</v>
      </c>
      <c r="N344" s="514">
        <v>0</v>
      </c>
      <c r="O344" s="499"/>
      <c r="P344" s="499"/>
      <c r="Q344" s="499"/>
    </row>
    <row r="345" spans="1:17" ht="14.4" x14ac:dyDescent="0.3">
      <c r="A345" s="502">
        <v>1310542</v>
      </c>
      <c r="B345" s="503" t="s">
        <v>2154</v>
      </c>
      <c r="C345" s="514">
        <v>0</v>
      </c>
      <c r="D345" s="514">
        <v>0</v>
      </c>
      <c r="E345" s="514">
        <v>0</v>
      </c>
      <c r="F345" s="514">
        <v>0</v>
      </c>
      <c r="G345" s="514">
        <v>0</v>
      </c>
      <c r="H345" s="514">
        <v>0</v>
      </c>
      <c r="I345" s="514">
        <v>0</v>
      </c>
      <c r="J345" s="514">
        <v>0</v>
      </c>
      <c r="K345" s="514">
        <v>0</v>
      </c>
      <c r="L345" s="514">
        <v>0</v>
      </c>
      <c r="M345" s="514">
        <v>0</v>
      </c>
      <c r="N345" s="514">
        <v>0</v>
      </c>
      <c r="O345" s="499"/>
      <c r="P345" s="499"/>
      <c r="Q345" s="499"/>
    </row>
    <row r="346" spans="1:17" ht="14.4" x14ac:dyDescent="0.3">
      <c r="A346" s="502">
        <v>1310543</v>
      </c>
      <c r="B346" s="503" t="s">
        <v>2155</v>
      </c>
      <c r="C346" s="514">
        <v>0</v>
      </c>
      <c r="D346" s="514">
        <v>0</v>
      </c>
      <c r="E346" s="514">
        <v>0</v>
      </c>
      <c r="F346" s="514">
        <v>0</v>
      </c>
      <c r="G346" s="514">
        <v>0</v>
      </c>
      <c r="H346" s="514">
        <v>0</v>
      </c>
      <c r="I346" s="514">
        <v>0</v>
      </c>
      <c r="J346" s="514">
        <v>0</v>
      </c>
      <c r="K346" s="514">
        <v>0</v>
      </c>
      <c r="L346" s="514">
        <v>0</v>
      </c>
      <c r="M346" s="514">
        <v>0</v>
      </c>
      <c r="N346" s="514">
        <v>0</v>
      </c>
      <c r="O346" s="499"/>
      <c r="P346" s="499"/>
      <c r="Q346" s="499"/>
    </row>
    <row r="347" spans="1:17" ht="14.4" x14ac:dyDescent="0.3">
      <c r="A347" s="502">
        <v>1310544</v>
      </c>
      <c r="B347" s="503" t="s">
        <v>2156</v>
      </c>
      <c r="C347" s="514">
        <v>0</v>
      </c>
      <c r="D347" s="514">
        <v>0</v>
      </c>
      <c r="E347" s="514">
        <v>0</v>
      </c>
      <c r="F347" s="514">
        <v>0</v>
      </c>
      <c r="G347" s="514">
        <v>0</v>
      </c>
      <c r="H347" s="514">
        <v>0</v>
      </c>
      <c r="I347" s="514">
        <v>0</v>
      </c>
      <c r="J347" s="514">
        <v>0</v>
      </c>
      <c r="K347" s="514">
        <v>0</v>
      </c>
      <c r="L347" s="514">
        <v>0</v>
      </c>
      <c r="M347" s="514">
        <v>0</v>
      </c>
      <c r="N347" s="514">
        <v>0</v>
      </c>
      <c r="O347" s="499"/>
      <c r="P347" s="499"/>
      <c r="Q347" s="499"/>
    </row>
    <row r="348" spans="1:17" ht="14.4" x14ac:dyDescent="0.3">
      <c r="A348" s="502">
        <v>1310545</v>
      </c>
      <c r="B348" s="503" t="s">
        <v>2157</v>
      </c>
      <c r="C348" s="514">
        <v>0</v>
      </c>
      <c r="D348" s="514">
        <v>0</v>
      </c>
      <c r="E348" s="514">
        <v>0</v>
      </c>
      <c r="F348" s="514">
        <v>0</v>
      </c>
      <c r="G348" s="514">
        <v>0</v>
      </c>
      <c r="H348" s="514">
        <v>0</v>
      </c>
      <c r="I348" s="514">
        <v>0</v>
      </c>
      <c r="J348" s="514">
        <v>0</v>
      </c>
      <c r="K348" s="514">
        <v>0</v>
      </c>
      <c r="L348" s="514">
        <v>0</v>
      </c>
      <c r="M348" s="514">
        <v>0</v>
      </c>
      <c r="N348" s="514">
        <v>0</v>
      </c>
      <c r="O348" s="499"/>
      <c r="P348" s="499"/>
      <c r="Q348" s="499"/>
    </row>
    <row r="349" spans="1:17" ht="14.4" x14ac:dyDescent="0.3">
      <c r="A349" s="502">
        <v>1310546</v>
      </c>
      <c r="B349" s="503" t="s">
        <v>2158</v>
      </c>
      <c r="C349" s="514">
        <v>0</v>
      </c>
      <c r="D349" s="514">
        <v>0</v>
      </c>
      <c r="E349" s="514">
        <v>0</v>
      </c>
      <c r="F349" s="514">
        <v>0</v>
      </c>
      <c r="G349" s="514">
        <v>0</v>
      </c>
      <c r="H349" s="514">
        <v>0</v>
      </c>
      <c r="I349" s="514">
        <v>0</v>
      </c>
      <c r="J349" s="514">
        <v>0</v>
      </c>
      <c r="K349" s="514">
        <v>0</v>
      </c>
      <c r="L349" s="514">
        <v>0</v>
      </c>
      <c r="M349" s="514">
        <v>0</v>
      </c>
      <c r="N349" s="514">
        <v>0</v>
      </c>
      <c r="O349" s="499"/>
      <c r="P349" s="499"/>
      <c r="Q349" s="499"/>
    </row>
    <row r="350" spans="1:17" ht="14.4" x14ac:dyDescent="0.3">
      <c r="A350" s="502">
        <v>1310547</v>
      </c>
      <c r="B350" s="503" t="s">
        <v>2159</v>
      </c>
      <c r="C350" s="514">
        <v>0</v>
      </c>
      <c r="D350" s="514">
        <v>0</v>
      </c>
      <c r="E350" s="514">
        <v>0</v>
      </c>
      <c r="F350" s="514">
        <v>0</v>
      </c>
      <c r="G350" s="514">
        <v>0</v>
      </c>
      <c r="H350" s="514">
        <v>0</v>
      </c>
      <c r="I350" s="514">
        <v>0</v>
      </c>
      <c r="J350" s="514">
        <v>0</v>
      </c>
      <c r="K350" s="514">
        <v>0</v>
      </c>
      <c r="L350" s="514">
        <v>0</v>
      </c>
      <c r="M350" s="514">
        <v>0</v>
      </c>
      <c r="N350" s="514">
        <v>0</v>
      </c>
      <c r="O350" s="499"/>
      <c r="P350" s="499"/>
      <c r="Q350" s="499"/>
    </row>
    <row r="351" spans="1:17" ht="14.4" x14ac:dyDescent="0.3">
      <c r="A351" s="502">
        <v>1310548</v>
      </c>
      <c r="B351" s="503" t="s">
        <v>2160</v>
      </c>
      <c r="C351" s="514">
        <v>0</v>
      </c>
      <c r="D351" s="514">
        <v>0</v>
      </c>
      <c r="E351" s="514">
        <v>0</v>
      </c>
      <c r="F351" s="514">
        <v>0</v>
      </c>
      <c r="G351" s="514">
        <v>0</v>
      </c>
      <c r="H351" s="514">
        <v>0</v>
      </c>
      <c r="I351" s="514">
        <v>0</v>
      </c>
      <c r="J351" s="514">
        <v>0</v>
      </c>
      <c r="K351" s="514">
        <v>0</v>
      </c>
      <c r="L351" s="514">
        <v>0</v>
      </c>
      <c r="M351" s="514">
        <v>0</v>
      </c>
      <c r="N351" s="514">
        <v>0</v>
      </c>
      <c r="O351" s="499"/>
      <c r="P351" s="499"/>
      <c r="Q351" s="499"/>
    </row>
    <row r="352" spans="1:17" ht="14.4" x14ac:dyDescent="0.3">
      <c r="A352" s="502">
        <v>1310550</v>
      </c>
      <c r="B352" s="503" t="s">
        <v>2161</v>
      </c>
      <c r="C352" s="514">
        <v>0</v>
      </c>
      <c r="D352" s="514">
        <v>0</v>
      </c>
      <c r="E352" s="514">
        <v>0</v>
      </c>
      <c r="F352" s="514">
        <v>0</v>
      </c>
      <c r="G352" s="514">
        <v>0</v>
      </c>
      <c r="H352" s="514">
        <v>0</v>
      </c>
      <c r="I352" s="514">
        <v>0</v>
      </c>
      <c r="J352" s="514">
        <v>0</v>
      </c>
      <c r="K352" s="514">
        <v>0</v>
      </c>
      <c r="L352" s="514">
        <v>0</v>
      </c>
      <c r="M352" s="514">
        <v>0</v>
      </c>
      <c r="N352" s="514">
        <v>0</v>
      </c>
      <c r="O352" s="499"/>
      <c r="P352" s="499"/>
      <c r="Q352" s="499"/>
    </row>
    <row r="353" spans="1:17" ht="14.4" x14ac:dyDescent="0.3">
      <c r="A353" s="502">
        <v>1310551</v>
      </c>
      <c r="B353" s="503" t="s">
        <v>2162</v>
      </c>
      <c r="C353" s="514">
        <v>0</v>
      </c>
      <c r="D353" s="514">
        <v>0</v>
      </c>
      <c r="E353" s="514">
        <v>0</v>
      </c>
      <c r="F353" s="514">
        <v>0</v>
      </c>
      <c r="G353" s="514">
        <v>0</v>
      </c>
      <c r="H353" s="514">
        <v>0</v>
      </c>
      <c r="I353" s="514">
        <v>0</v>
      </c>
      <c r="J353" s="514">
        <v>0</v>
      </c>
      <c r="K353" s="514">
        <v>0</v>
      </c>
      <c r="L353" s="514">
        <v>0</v>
      </c>
      <c r="M353" s="514">
        <v>0</v>
      </c>
      <c r="N353" s="514">
        <v>0</v>
      </c>
      <c r="O353" s="499"/>
      <c r="P353" s="499"/>
      <c r="Q353" s="499"/>
    </row>
    <row r="354" spans="1:17" ht="14.4" x14ac:dyDescent="0.3">
      <c r="A354" s="502">
        <v>1310552</v>
      </c>
      <c r="B354" s="503" t="s">
        <v>2163</v>
      </c>
      <c r="C354" s="514">
        <v>0</v>
      </c>
      <c r="D354" s="514">
        <v>0</v>
      </c>
      <c r="E354" s="514">
        <v>0</v>
      </c>
      <c r="F354" s="514">
        <v>0</v>
      </c>
      <c r="G354" s="514">
        <v>0</v>
      </c>
      <c r="H354" s="514">
        <v>0</v>
      </c>
      <c r="I354" s="514">
        <v>0</v>
      </c>
      <c r="J354" s="514">
        <v>0</v>
      </c>
      <c r="K354" s="514">
        <v>0</v>
      </c>
      <c r="L354" s="514">
        <v>0</v>
      </c>
      <c r="M354" s="514">
        <v>0</v>
      </c>
      <c r="N354" s="514">
        <v>0</v>
      </c>
      <c r="O354" s="499"/>
      <c r="P354" s="499"/>
      <c r="Q354" s="499"/>
    </row>
    <row r="355" spans="1:17" ht="14.4" x14ac:dyDescent="0.3">
      <c r="A355" s="502">
        <v>1310553</v>
      </c>
      <c r="B355" s="503" t="s">
        <v>2164</v>
      </c>
      <c r="C355" s="514">
        <v>0</v>
      </c>
      <c r="D355" s="514">
        <v>0</v>
      </c>
      <c r="E355" s="514">
        <v>0</v>
      </c>
      <c r="F355" s="514">
        <v>0</v>
      </c>
      <c r="G355" s="514">
        <v>0</v>
      </c>
      <c r="H355" s="514">
        <v>0</v>
      </c>
      <c r="I355" s="514">
        <v>0</v>
      </c>
      <c r="J355" s="514">
        <v>0</v>
      </c>
      <c r="K355" s="514">
        <v>0</v>
      </c>
      <c r="L355" s="514">
        <v>0</v>
      </c>
      <c r="M355" s="514">
        <v>0</v>
      </c>
      <c r="N355" s="514">
        <v>0</v>
      </c>
      <c r="O355" s="499"/>
      <c r="P355" s="499"/>
      <c r="Q355" s="499"/>
    </row>
    <row r="356" spans="1:17" ht="14.4" x14ac:dyDescent="0.3">
      <c r="A356" s="502">
        <v>1310554</v>
      </c>
      <c r="B356" s="503" t="s">
        <v>2165</v>
      </c>
      <c r="C356" s="514">
        <v>0</v>
      </c>
      <c r="D356" s="514">
        <v>0</v>
      </c>
      <c r="E356" s="514">
        <v>0</v>
      </c>
      <c r="F356" s="514">
        <v>0</v>
      </c>
      <c r="G356" s="514">
        <v>0</v>
      </c>
      <c r="H356" s="514">
        <v>0</v>
      </c>
      <c r="I356" s="514">
        <v>0</v>
      </c>
      <c r="J356" s="514">
        <v>0</v>
      </c>
      <c r="K356" s="514">
        <v>0</v>
      </c>
      <c r="L356" s="514">
        <v>0</v>
      </c>
      <c r="M356" s="514">
        <v>0</v>
      </c>
      <c r="N356" s="514">
        <v>0</v>
      </c>
      <c r="O356" s="499"/>
      <c r="P356" s="499"/>
      <c r="Q356" s="499"/>
    </row>
    <row r="357" spans="1:17" ht="14.4" x14ac:dyDescent="0.3">
      <c r="A357" s="502">
        <v>1310555</v>
      </c>
      <c r="B357" s="503" t="s">
        <v>2166</v>
      </c>
      <c r="C357" s="514">
        <v>0</v>
      </c>
      <c r="D357" s="514">
        <v>0</v>
      </c>
      <c r="E357" s="514">
        <v>0</v>
      </c>
      <c r="F357" s="514">
        <v>0</v>
      </c>
      <c r="G357" s="514">
        <v>0</v>
      </c>
      <c r="H357" s="514">
        <v>0</v>
      </c>
      <c r="I357" s="514">
        <v>0</v>
      </c>
      <c r="J357" s="514">
        <v>0</v>
      </c>
      <c r="K357" s="514">
        <v>0</v>
      </c>
      <c r="L357" s="514">
        <v>0</v>
      </c>
      <c r="M357" s="514">
        <v>0</v>
      </c>
      <c r="N357" s="514">
        <v>0</v>
      </c>
      <c r="O357" s="499"/>
      <c r="P357" s="499"/>
      <c r="Q357" s="499"/>
    </row>
    <row r="358" spans="1:17" ht="14.4" x14ac:dyDescent="0.3">
      <c r="A358" s="502">
        <v>1310556</v>
      </c>
      <c r="B358" s="503" t="s">
        <v>2167</v>
      </c>
      <c r="C358" s="514">
        <v>0</v>
      </c>
      <c r="D358" s="514">
        <v>0</v>
      </c>
      <c r="E358" s="514">
        <v>0</v>
      </c>
      <c r="F358" s="514">
        <v>0</v>
      </c>
      <c r="G358" s="514">
        <v>0</v>
      </c>
      <c r="H358" s="514">
        <v>0</v>
      </c>
      <c r="I358" s="514">
        <v>0</v>
      </c>
      <c r="J358" s="514">
        <v>0</v>
      </c>
      <c r="K358" s="514">
        <v>0</v>
      </c>
      <c r="L358" s="514">
        <v>0</v>
      </c>
      <c r="M358" s="514">
        <v>0</v>
      </c>
      <c r="N358" s="514">
        <v>0</v>
      </c>
      <c r="O358" s="499"/>
      <c r="P358" s="499"/>
      <c r="Q358" s="499"/>
    </row>
    <row r="359" spans="1:17" ht="14.4" x14ac:dyDescent="0.3">
      <c r="A359" s="502">
        <v>1310557</v>
      </c>
      <c r="B359" s="503" t="s">
        <v>2168</v>
      </c>
      <c r="C359" s="514">
        <v>0</v>
      </c>
      <c r="D359" s="514">
        <v>0</v>
      </c>
      <c r="E359" s="514">
        <v>0</v>
      </c>
      <c r="F359" s="514">
        <v>0</v>
      </c>
      <c r="G359" s="514">
        <v>0</v>
      </c>
      <c r="H359" s="514">
        <v>0</v>
      </c>
      <c r="I359" s="514">
        <v>0</v>
      </c>
      <c r="J359" s="514">
        <v>0</v>
      </c>
      <c r="K359" s="514">
        <v>0</v>
      </c>
      <c r="L359" s="514">
        <v>0</v>
      </c>
      <c r="M359" s="514">
        <v>0</v>
      </c>
      <c r="N359" s="514">
        <v>0</v>
      </c>
      <c r="O359" s="499"/>
      <c r="P359" s="499"/>
      <c r="Q359" s="499"/>
    </row>
    <row r="360" spans="1:17" ht="14.4" x14ac:dyDescent="0.3">
      <c r="A360" s="502">
        <v>1310558</v>
      </c>
      <c r="B360" s="503" t="s">
        <v>2169</v>
      </c>
      <c r="C360" s="514">
        <v>0</v>
      </c>
      <c r="D360" s="514">
        <v>0</v>
      </c>
      <c r="E360" s="514">
        <v>0</v>
      </c>
      <c r="F360" s="514">
        <v>0</v>
      </c>
      <c r="G360" s="514">
        <v>0</v>
      </c>
      <c r="H360" s="514">
        <v>0</v>
      </c>
      <c r="I360" s="514">
        <v>0</v>
      </c>
      <c r="J360" s="514">
        <v>0</v>
      </c>
      <c r="K360" s="514">
        <v>0</v>
      </c>
      <c r="L360" s="514">
        <v>0</v>
      </c>
      <c r="M360" s="514">
        <v>0</v>
      </c>
      <c r="N360" s="514">
        <v>0</v>
      </c>
      <c r="O360" s="499"/>
      <c r="P360" s="499"/>
      <c r="Q360" s="499"/>
    </row>
    <row r="361" spans="1:17" ht="14.4" x14ac:dyDescent="0.3">
      <c r="A361" s="502">
        <v>1310560</v>
      </c>
      <c r="B361" s="503" t="s">
        <v>2170</v>
      </c>
      <c r="C361" s="514">
        <v>0</v>
      </c>
      <c r="D361" s="514">
        <v>0</v>
      </c>
      <c r="E361" s="514">
        <v>0</v>
      </c>
      <c r="F361" s="514">
        <v>0</v>
      </c>
      <c r="G361" s="514">
        <v>0</v>
      </c>
      <c r="H361" s="514">
        <v>0</v>
      </c>
      <c r="I361" s="514">
        <v>0</v>
      </c>
      <c r="J361" s="514">
        <v>0</v>
      </c>
      <c r="K361" s="514">
        <v>0</v>
      </c>
      <c r="L361" s="514">
        <v>0</v>
      </c>
      <c r="M361" s="514">
        <v>0</v>
      </c>
      <c r="N361" s="514">
        <v>0</v>
      </c>
      <c r="O361" s="499"/>
      <c r="P361" s="499"/>
      <c r="Q361" s="499"/>
    </row>
    <row r="362" spans="1:17" ht="14.4" x14ac:dyDescent="0.3">
      <c r="A362" s="502">
        <v>1310561</v>
      </c>
      <c r="B362" s="503" t="s">
        <v>2171</v>
      </c>
      <c r="C362" s="514">
        <v>0</v>
      </c>
      <c r="D362" s="514">
        <v>0</v>
      </c>
      <c r="E362" s="514">
        <v>0</v>
      </c>
      <c r="F362" s="514">
        <v>0</v>
      </c>
      <c r="G362" s="514">
        <v>0</v>
      </c>
      <c r="H362" s="514">
        <v>0</v>
      </c>
      <c r="I362" s="514">
        <v>0</v>
      </c>
      <c r="J362" s="514">
        <v>0</v>
      </c>
      <c r="K362" s="514">
        <v>0</v>
      </c>
      <c r="L362" s="514">
        <v>0</v>
      </c>
      <c r="M362" s="514">
        <v>0</v>
      </c>
      <c r="N362" s="514">
        <v>0</v>
      </c>
      <c r="O362" s="499"/>
      <c r="P362" s="499"/>
      <c r="Q362" s="499"/>
    </row>
    <row r="363" spans="1:17" ht="14.4" x14ac:dyDescent="0.3">
      <c r="A363" s="502">
        <v>1310562</v>
      </c>
      <c r="B363" s="503" t="s">
        <v>2172</v>
      </c>
      <c r="C363" s="514">
        <v>0</v>
      </c>
      <c r="D363" s="514">
        <v>0</v>
      </c>
      <c r="E363" s="514">
        <v>0</v>
      </c>
      <c r="F363" s="514">
        <v>0</v>
      </c>
      <c r="G363" s="514">
        <v>0</v>
      </c>
      <c r="H363" s="514">
        <v>0</v>
      </c>
      <c r="I363" s="514">
        <v>0</v>
      </c>
      <c r="J363" s="514">
        <v>0</v>
      </c>
      <c r="K363" s="514">
        <v>0</v>
      </c>
      <c r="L363" s="514">
        <v>0</v>
      </c>
      <c r="M363" s="514">
        <v>0</v>
      </c>
      <c r="N363" s="514">
        <v>0</v>
      </c>
      <c r="O363" s="499"/>
      <c r="P363" s="499"/>
      <c r="Q363" s="499"/>
    </row>
    <row r="364" spans="1:17" ht="14.4" x14ac:dyDescent="0.3">
      <c r="A364" s="502">
        <v>1310563</v>
      </c>
      <c r="B364" s="503" t="s">
        <v>2173</v>
      </c>
      <c r="C364" s="514">
        <v>0</v>
      </c>
      <c r="D364" s="514">
        <v>0</v>
      </c>
      <c r="E364" s="514">
        <v>0</v>
      </c>
      <c r="F364" s="514">
        <v>0</v>
      </c>
      <c r="G364" s="514">
        <v>0</v>
      </c>
      <c r="H364" s="514">
        <v>0</v>
      </c>
      <c r="I364" s="514">
        <v>0</v>
      </c>
      <c r="J364" s="514">
        <v>0</v>
      </c>
      <c r="K364" s="514">
        <v>0</v>
      </c>
      <c r="L364" s="514">
        <v>0</v>
      </c>
      <c r="M364" s="514">
        <v>0</v>
      </c>
      <c r="N364" s="514">
        <v>0</v>
      </c>
      <c r="O364" s="499"/>
      <c r="P364" s="499"/>
      <c r="Q364" s="499"/>
    </row>
    <row r="365" spans="1:17" ht="14.4" x14ac:dyDescent="0.3">
      <c r="A365" s="502">
        <v>1310564</v>
      </c>
      <c r="B365" s="503" t="s">
        <v>2174</v>
      </c>
      <c r="C365" s="514">
        <v>0</v>
      </c>
      <c r="D365" s="514">
        <v>0</v>
      </c>
      <c r="E365" s="514">
        <v>0</v>
      </c>
      <c r="F365" s="514">
        <v>0</v>
      </c>
      <c r="G365" s="514">
        <v>0</v>
      </c>
      <c r="H365" s="514">
        <v>0</v>
      </c>
      <c r="I365" s="514">
        <v>0</v>
      </c>
      <c r="J365" s="514">
        <v>0</v>
      </c>
      <c r="K365" s="514">
        <v>0</v>
      </c>
      <c r="L365" s="514">
        <v>0</v>
      </c>
      <c r="M365" s="514">
        <v>0</v>
      </c>
      <c r="N365" s="514">
        <v>0</v>
      </c>
      <c r="O365" s="499"/>
      <c r="P365" s="499"/>
      <c r="Q365" s="499"/>
    </row>
    <row r="366" spans="1:17" ht="14.4" x14ac:dyDescent="0.3">
      <c r="A366" s="502">
        <v>1310565</v>
      </c>
      <c r="B366" s="503" t="s">
        <v>2175</v>
      </c>
      <c r="C366" s="514">
        <v>0</v>
      </c>
      <c r="D366" s="514">
        <v>0</v>
      </c>
      <c r="E366" s="514">
        <v>0</v>
      </c>
      <c r="F366" s="514">
        <v>0</v>
      </c>
      <c r="G366" s="514">
        <v>0</v>
      </c>
      <c r="H366" s="514">
        <v>0</v>
      </c>
      <c r="I366" s="514">
        <v>0</v>
      </c>
      <c r="J366" s="514">
        <v>0</v>
      </c>
      <c r="K366" s="514">
        <v>0</v>
      </c>
      <c r="L366" s="514">
        <v>0</v>
      </c>
      <c r="M366" s="514">
        <v>0</v>
      </c>
      <c r="N366" s="514">
        <v>0</v>
      </c>
      <c r="O366" s="499"/>
      <c r="P366" s="499"/>
      <c r="Q366" s="499"/>
    </row>
    <row r="367" spans="1:17" ht="14.4" x14ac:dyDescent="0.3">
      <c r="A367" s="502">
        <v>1310566</v>
      </c>
      <c r="B367" s="503" t="s">
        <v>2176</v>
      </c>
      <c r="C367" s="514">
        <v>0</v>
      </c>
      <c r="D367" s="514">
        <v>0</v>
      </c>
      <c r="E367" s="514">
        <v>0</v>
      </c>
      <c r="F367" s="514">
        <v>0</v>
      </c>
      <c r="G367" s="514">
        <v>0</v>
      </c>
      <c r="H367" s="514">
        <v>0</v>
      </c>
      <c r="I367" s="514">
        <v>0</v>
      </c>
      <c r="J367" s="514">
        <v>0</v>
      </c>
      <c r="K367" s="514">
        <v>0</v>
      </c>
      <c r="L367" s="514">
        <v>0</v>
      </c>
      <c r="M367" s="514">
        <v>0</v>
      </c>
      <c r="N367" s="514">
        <v>0</v>
      </c>
      <c r="O367" s="499"/>
      <c r="P367" s="499"/>
      <c r="Q367" s="499"/>
    </row>
    <row r="368" spans="1:17" ht="14.4" x14ac:dyDescent="0.3">
      <c r="A368" s="502">
        <v>1310567</v>
      </c>
      <c r="B368" s="503" t="s">
        <v>2177</v>
      </c>
      <c r="C368" s="514">
        <v>0</v>
      </c>
      <c r="D368" s="514">
        <v>0</v>
      </c>
      <c r="E368" s="514">
        <v>0</v>
      </c>
      <c r="F368" s="514">
        <v>0</v>
      </c>
      <c r="G368" s="514">
        <v>0</v>
      </c>
      <c r="H368" s="514">
        <v>0</v>
      </c>
      <c r="I368" s="514">
        <v>0</v>
      </c>
      <c r="J368" s="514">
        <v>0</v>
      </c>
      <c r="K368" s="514">
        <v>0</v>
      </c>
      <c r="L368" s="514">
        <v>0</v>
      </c>
      <c r="M368" s="514">
        <v>0</v>
      </c>
      <c r="N368" s="514">
        <v>0</v>
      </c>
      <c r="O368" s="499"/>
      <c r="P368" s="499"/>
      <c r="Q368" s="499"/>
    </row>
    <row r="369" spans="1:17" ht="14.4" x14ac:dyDescent="0.3">
      <c r="A369" s="502">
        <v>1310568</v>
      </c>
      <c r="B369" s="503" t="s">
        <v>2178</v>
      </c>
      <c r="C369" s="514">
        <v>0</v>
      </c>
      <c r="D369" s="514">
        <v>0</v>
      </c>
      <c r="E369" s="514">
        <v>0</v>
      </c>
      <c r="F369" s="514">
        <v>0</v>
      </c>
      <c r="G369" s="514">
        <v>0</v>
      </c>
      <c r="H369" s="514">
        <v>0</v>
      </c>
      <c r="I369" s="514">
        <v>0</v>
      </c>
      <c r="J369" s="514">
        <v>0</v>
      </c>
      <c r="K369" s="514">
        <v>0</v>
      </c>
      <c r="L369" s="514">
        <v>0</v>
      </c>
      <c r="M369" s="514">
        <v>0</v>
      </c>
      <c r="N369" s="514">
        <v>0</v>
      </c>
      <c r="O369" s="499"/>
      <c r="P369" s="499"/>
      <c r="Q369" s="499"/>
    </row>
    <row r="370" spans="1:17" ht="14.4" x14ac:dyDescent="0.3">
      <c r="A370" s="502">
        <v>1310570</v>
      </c>
      <c r="B370" s="503" t="s">
        <v>2179</v>
      </c>
      <c r="C370" s="514">
        <v>0</v>
      </c>
      <c r="D370" s="514">
        <v>0</v>
      </c>
      <c r="E370" s="514">
        <v>0</v>
      </c>
      <c r="F370" s="514">
        <v>0</v>
      </c>
      <c r="G370" s="514">
        <v>0</v>
      </c>
      <c r="H370" s="514">
        <v>0</v>
      </c>
      <c r="I370" s="514">
        <v>0</v>
      </c>
      <c r="J370" s="514">
        <v>0</v>
      </c>
      <c r="K370" s="514">
        <v>0</v>
      </c>
      <c r="L370" s="514">
        <v>0</v>
      </c>
      <c r="M370" s="514">
        <v>0</v>
      </c>
      <c r="N370" s="514">
        <v>0</v>
      </c>
      <c r="O370" s="499"/>
      <c r="P370" s="499"/>
      <c r="Q370" s="499"/>
    </row>
    <row r="371" spans="1:17" ht="14.4" x14ac:dyDescent="0.3">
      <c r="A371" s="502">
        <v>1310571</v>
      </c>
      <c r="B371" s="503" t="s">
        <v>2180</v>
      </c>
      <c r="C371" s="514">
        <v>0</v>
      </c>
      <c r="D371" s="514">
        <v>0</v>
      </c>
      <c r="E371" s="514">
        <v>0</v>
      </c>
      <c r="F371" s="514">
        <v>0</v>
      </c>
      <c r="G371" s="514">
        <v>0</v>
      </c>
      <c r="H371" s="514">
        <v>0</v>
      </c>
      <c r="I371" s="514">
        <v>0</v>
      </c>
      <c r="J371" s="514">
        <v>0</v>
      </c>
      <c r="K371" s="514">
        <v>0</v>
      </c>
      <c r="L371" s="514">
        <v>0</v>
      </c>
      <c r="M371" s="514">
        <v>0</v>
      </c>
      <c r="N371" s="514">
        <v>0</v>
      </c>
      <c r="O371" s="499"/>
      <c r="P371" s="499"/>
      <c r="Q371" s="499"/>
    </row>
    <row r="372" spans="1:17" ht="14.4" x14ac:dyDescent="0.3">
      <c r="A372" s="502">
        <v>1310572</v>
      </c>
      <c r="B372" s="503" t="s">
        <v>2181</v>
      </c>
      <c r="C372" s="514">
        <v>0</v>
      </c>
      <c r="D372" s="514">
        <v>0</v>
      </c>
      <c r="E372" s="514">
        <v>0</v>
      </c>
      <c r="F372" s="514">
        <v>0</v>
      </c>
      <c r="G372" s="514">
        <v>0</v>
      </c>
      <c r="H372" s="514">
        <v>0</v>
      </c>
      <c r="I372" s="514">
        <v>0</v>
      </c>
      <c r="J372" s="514">
        <v>0</v>
      </c>
      <c r="K372" s="514">
        <v>0</v>
      </c>
      <c r="L372" s="514">
        <v>0</v>
      </c>
      <c r="M372" s="514">
        <v>0</v>
      </c>
      <c r="N372" s="514">
        <v>0</v>
      </c>
      <c r="O372" s="499"/>
      <c r="P372" s="499"/>
      <c r="Q372" s="499"/>
    </row>
    <row r="373" spans="1:17" ht="14.4" x14ac:dyDescent="0.3">
      <c r="A373" s="502">
        <v>1310573</v>
      </c>
      <c r="B373" s="503" t="s">
        <v>2182</v>
      </c>
      <c r="C373" s="514">
        <v>0</v>
      </c>
      <c r="D373" s="514">
        <v>0</v>
      </c>
      <c r="E373" s="514">
        <v>0</v>
      </c>
      <c r="F373" s="514">
        <v>0</v>
      </c>
      <c r="G373" s="514">
        <v>0</v>
      </c>
      <c r="H373" s="514">
        <v>0</v>
      </c>
      <c r="I373" s="514">
        <v>0</v>
      </c>
      <c r="J373" s="514">
        <v>0</v>
      </c>
      <c r="K373" s="514">
        <v>0</v>
      </c>
      <c r="L373" s="514">
        <v>0</v>
      </c>
      <c r="M373" s="514">
        <v>0</v>
      </c>
      <c r="N373" s="514">
        <v>0</v>
      </c>
      <c r="O373" s="499"/>
      <c r="P373" s="499"/>
      <c r="Q373" s="499"/>
    </row>
    <row r="374" spans="1:17" ht="14.4" x14ac:dyDescent="0.3">
      <c r="A374" s="502">
        <v>1310574</v>
      </c>
      <c r="B374" s="503" t="s">
        <v>2183</v>
      </c>
      <c r="C374" s="514">
        <v>0</v>
      </c>
      <c r="D374" s="514">
        <v>0</v>
      </c>
      <c r="E374" s="514">
        <v>0</v>
      </c>
      <c r="F374" s="514">
        <v>0</v>
      </c>
      <c r="G374" s="514">
        <v>0</v>
      </c>
      <c r="H374" s="514">
        <v>0</v>
      </c>
      <c r="I374" s="514">
        <v>0</v>
      </c>
      <c r="J374" s="514">
        <v>0</v>
      </c>
      <c r="K374" s="514">
        <v>0</v>
      </c>
      <c r="L374" s="514">
        <v>0</v>
      </c>
      <c r="M374" s="514">
        <v>0</v>
      </c>
      <c r="N374" s="514">
        <v>0</v>
      </c>
      <c r="O374" s="499"/>
      <c r="P374" s="499"/>
      <c r="Q374" s="499"/>
    </row>
    <row r="375" spans="1:17" ht="14.4" x14ac:dyDescent="0.3">
      <c r="A375" s="502">
        <v>1310575</v>
      </c>
      <c r="B375" s="503" t="s">
        <v>2184</v>
      </c>
      <c r="C375" s="514">
        <v>0</v>
      </c>
      <c r="D375" s="514">
        <v>0</v>
      </c>
      <c r="E375" s="514">
        <v>0</v>
      </c>
      <c r="F375" s="514">
        <v>0</v>
      </c>
      <c r="G375" s="514">
        <v>0</v>
      </c>
      <c r="H375" s="514">
        <v>0</v>
      </c>
      <c r="I375" s="514">
        <v>0</v>
      </c>
      <c r="J375" s="514">
        <v>0</v>
      </c>
      <c r="K375" s="514">
        <v>0</v>
      </c>
      <c r="L375" s="514">
        <v>0</v>
      </c>
      <c r="M375" s="514">
        <v>0</v>
      </c>
      <c r="N375" s="514">
        <v>0</v>
      </c>
      <c r="O375" s="499"/>
      <c r="P375" s="499"/>
      <c r="Q375" s="499"/>
    </row>
    <row r="376" spans="1:17" ht="14.4" x14ac:dyDescent="0.3">
      <c r="A376" s="502">
        <v>1310576</v>
      </c>
      <c r="B376" s="503" t="s">
        <v>2185</v>
      </c>
      <c r="C376" s="514">
        <v>0</v>
      </c>
      <c r="D376" s="514">
        <v>0</v>
      </c>
      <c r="E376" s="514">
        <v>0</v>
      </c>
      <c r="F376" s="514">
        <v>0</v>
      </c>
      <c r="G376" s="514">
        <v>0</v>
      </c>
      <c r="H376" s="514">
        <v>0</v>
      </c>
      <c r="I376" s="514">
        <v>0</v>
      </c>
      <c r="J376" s="514">
        <v>0</v>
      </c>
      <c r="K376" s="514">
        <v>0</v>
      </c>
      <c r="L376" s="514">
        <v>0</v>
      </c>
      <c r="M376" s="514">
        <v>0</v>
      </c>
      <c r="N376" s="514">
        <v>0</v>
      </c>
      <c r="O376" s="499"/>
      <c r="P376" s="499"/>
      <c r="Q376" s="499"/>
    </row>
    <row r="377" spans="1:17" ht="14.4" x14ac:dyDescent="0.3">
      <c r="A377" s="502">
        <v>1310577</v>
      </c>
      <c r="B377" s="503" t="s">
        <v>2186</v>
      </c>
      <c r="C377" s="514">
        <v>0</v>
      </c>
      <c r="D377" s="514">
        <v>0</v>
      </c>
      <c r="E377" s="514">
        <v>0</v>
      </c>
      <c r="F377" s="514">
        <v>0</v>
      </c>
      <c r="G377" s="514">
        <v>0</v>
      </c>
      <c r="H377" s="514">
        <v>0</v>
      </c>
      <c r="I377" s="514">
        <v>0</v>
      </c>
      <c r="J377" s="514">
        <v>0</v>
      </c>
      <c r="K377" s="514">
        <v>0</v>
      </c>
      <c r="L377" s="514">
        <v>0</v>
      </c>
      <c r="M377" s="514">
        <v>0</v>
      </c>
      <c r="N377" s="514">
        <v>0</v>
      </c>
      <c r="O377" s="499"/>
      <c r="P377" s="499"/>
      <c r="Q377" s="499"/>
    </row>
    <row r="378" spans="1:17" ht="14.4" x14ac:dyDescent="0.3">
      <c r="A378" s="502">
        <v>1310578</v>
      </c>
      <c r="B378" s="503" t="s">
        <v>2187</v>
      </c>
      <c r="C378" s="514">
        <v>0</v>
      </c>
      <c r="D378" s="514">
        <v>0</v>
      </c>
      <c r="E378" s="514">
        <v>0</v>
      </c>
      <c r="F378" s="514">
        <v>0</v>
      </c>
      <c r="G378" s="514">
        <v>0</v>
      </c>
      <c r="H378" s="514">
        <v>0</v>
      </c>
      <c r="I378" s="514">
        <v>0</v>
      </c>
      <c r="J378" s="514">
        <v>0</v>
      </c>
      <c r="K378" s="514">
        <v>0</v>
      </c>
      <c r="L378" s="514">
        <v>0</v>
      </c>
      <c r="M378" s="514">
        <v>0</v>
      </c>
      <c r="N378" s="514">
        <v>0</v>
      </c>
      <c r="O378" s="499"/>
      <c r="P378" s="499"/>
      <c r="Q378" s="499"/>
    </row>
    <row r="379" spans="1:17" ht="14.4" x14ac:dyDescent="0.3">
      <c r="A379" s="502">
        <v>1310580</v>
      </c>
      <c r="B379" s="503" t="s">
        <v>2188</v>
      </c>
      <c r="C379" s="514">
        <v>0</v>
      </c>
      <c r="D379" s="514">
        <v>0</v>
      </c>
      <c r="E379" s="514">
        <v>0</v>
      </c>
      <c r="F379" s="514">
        <v>0</v>
      </c>
      <c r="G379" s="514">
        <v>0</v>
      </c>
      <c r="H379" s="514">
        <v>0</v>
      </c>
      <c r="I379" s="514">
        <v>0</v>
      </c>
      <c r="J379" s="514">
        <v>0</v>
      </c>
      <c r="K379" s="514">
        <v>0</v>
      </c>
      <c r="L379" s="514">
        <v>0</v>
      </c>
      <c r="M379" s="514">
        <v>0</v>
      </c>
      <c r="N379" s="514">
        <v>0</v>
      </c>
      <c r="O379" s="499"/>
      <c r="P379" s="499"/>
      <c r="Q379" s="499"/>
    </row>
    <row r="380" spans="1:17" ht="14.4" x14ac:dyDescent="0.3">
      <c r="A380" s="502">
        <v>1310581</v>
      </c>
      <c r="B380" s="503" t="s">
        <v>2189</v>
      </c>
      <c r="C380" s="514">
        <v>0</v>
      </c>
      <c r="D380" s="514">
        <v>0</v>
      </c>
      <c r="E380" s="514">
        <v>0</v>
      </c>
      <c r="F380" s="514">
        <v>0</v>
      </c>
      <c r="G380" s="514">
        <v>0</v>
      </c>
      <c r="H380" s="514">
        <v>0</v>
      </c>
      <c r="I380" s="514">
        <v>0</v>
      </c>
      <c r="J380" s="514">
        <v>0</v>
      </c>
      <c r="K380" s="514">
        <v>0</v>
      </c>
      <c r="L380" s="514">
        <v>0</v>
      </c>
      <c r="M380" s="514">
        <v>0</v>
      </c>
      <c r="N380" s="514">
        <v>0</v>
      </c>
      <c r="O380" s="499"/>
      <c r="P380" s="499"/>
      <c r="Q380" s="499"/>
    </row>
    <row r="381" spans="1:17" ht="14.4" x14ac:dyDescent="0.3">
      <c r="A381" s="502">
        <v>1310582</v>
      </c>
      <c r="B381" s="503" t="s">
        <v>2190</v>
      </c>
      <c r="C381" s="514">
        <v>0</v>
      </c>
      <c r="D381" s="514">
        <v>0</v>
      </c>
      <c r="E381" s="514">
        <v>0</v>
      </c>
      <c r="F381" s="514">
        <v>0</v>
      </c>
      <c r="G381" s="514">
        <v>0</v>
      </c>
      <c r="H381" s="514">
        <v>0</v>
      </c>
      <c r="I381" s="514">
        <v>0</v>
      </c>
      <c r="J381" s="514">
        <v>0</v>
      </c>
      <c r="K381" s="514">
        <v>0</v>
      </c>
      <c r="L381" s="514">
        <v>0</v>
      </c>
      <c r="M381" s="514">
        <v>0</v>
      </c>
      <c r="N381" s="514">
        <v>0</v>
      </c>
      <c r="O381" s="499"/>
      <c r="P381" s="499"/>
      <c r="Q381" s="499"/>
    </row>
    <row r="382" spans="1:17" ht="14.4" x14ac:dyDescent="0.3">
      <c r="A382" s="502">
        <v>1310583</v>
      </c>
      <c r="B382" s="503" t="s">
        <v>2191</v>
      </c>
      <c r="C382" s="514">
        <v>0</v>
      </c>
      <c r="D382" s="514">
        <v>0</v>
      </c>
      <c r="E382" s="514">
        <v>0</v>
      </c>
      <c r="F382" s="514">
        <v>0</v>
      </c>
      <c r="G382" s="514">
        <v>0</v>
      </c>
      <c r="H382" s="514">
        <v>0</v>
      </c>
      <c r="I382" s="514">
        <v>0</v>
      </c>
      <c r="J382" s="514">
        <v>0</v>
      </c>
      <c r="K382" s="514">
        <v>0</v>
      </c>
      <c r="L382" s="514">
        <v>0</v>
      </c>
      <c r="M382" s="514">
        <v>0</v>
      </c>
      <c r="N382" s="514">
        <v>0</v>
      </c>
      <c r="O382" s="499"/>
      <c r="P382" s="499"/>
      <c r="Q382" s="499"/>
    </row>
    <row r="383" spans="1:17" ht="14.4" x14ac:dyDescent="0.3">
      <c r="A383" s="502">
        <v>1310584</v>
      </c>
      <c r="B383" s="503" t="s">
        <v>2192</v>
      </c>
      <c r="C383" s="514">
        <v>0</v>
      </c>
      <c r="D383" s="514">
        <v>0</v>
      </c>
      <c r="E383" s="514">
        <v>0</v>
      </c>
      <c r="F383" s="514">
        <v>0</v>
      </c>
      <c r="G383" s="514">
        <v>0</v>
      </c>
      <c r="H383" s="514">
        <v>0</v>
      </c>
      <c r="I383" s="514">
        <v>0</v>
      </c>
      <c r="J383" s="514">
        <v>0</v>
      </c>
      <c r="K383" s="514">
        <v>0</v>
      </c>
      <c r="L383" s="514">
        <v>0</v>
      </c>
      <c r="M383" s="514">
        <v>0</v>
      </c>
      <c r="N383" s="514">
        <v>0</v>
      </c>
      <c r="O383" s="499"/>
      <c r="P383" s="499"/>
      <c r="Q383" s="499"/>
    </row>
    <row r="384" spans="1:17" ht="14.4" x14ac:dyDescent="0.3">
      <c r="A384" s="502">
        <v>1310585</v>
      </c>
      <c r="B384" s="503" t="s">
        <v>2193</v>
      </c>
      <c r="C384" s="514">
        <v>0</v>
      </c>
      <c r="D384" s="514">
        <v>0</v>
      </c>
      <c r="E384" s="514">
        <v>0</v>
      </c>
      <c r="F384" s="514">
        <v>0</v>
      </c>
      <c r="G384" s="514">
        <v>0</v>
      </c>
      <c r="H384" s="514">
        <v>0</v>
      </c>
      <c r="I384" s="514">
        <v>0</v>
      </c>
      <c r="J384" s="514">
        <v>0</v>
      </c>
      <c r="K384" s="514">
        <v>0</v>
      </c>
      <c r="L384" s="514">
        <v>0</v>
      </c>
      <c r="M384" s="514">
        <v>0</v>
      </c>
      <c r="N384" s="514">
        <v>0</v>
      </c>
      <c r="O384" s="499"/>
      <c r="P384" s="499"/>
      <c r="Q384" s="499"/>
    </row>
    <row r="385" spans="1:17" ht="14.4" x14ac:dyDescent="0.3">
      <c r="A385" s="502">
        <v>1310586</v>
      </c>
      <c r="B385" s="503" t="s">
        <v>2194</v>
      </c>
      <c r="C385" s="514">
        <v>0</v>
      </c>
      <c r="D385" s="514">
        <v>0</v>
      </c>
      <c r="E385" s="514">
        <v>0</v>
      </c>
      <c r="F385" s="514">
        <v>0</v>
      </c>
      <c r="G385" s="514">
        <v>0</v>
      </c>
      <c r="H385" s="514">
        <v>0</v>
      </c>
      <c r="I385" s="514">
        <v>0</v>
      </c>
      <c r="J385" s="514">
        <v>0</v>
      </c>
      <c r="K385" s="514">
        <v>0</v>
      </c>
      <c r="L385" s="514">
        <v>0</v>
      </c>
      <c r="M385" s="514">
        <v>0</v>
      </c>
      <c r="N385" s="514">
        <v>0</v>
      </c>
      <c r="O385" s="499"/>
      <c r="P385" s="499"/>
      <c r="Q385" s="499"/>
    </row>
    <row r="386" spans="1:17" ht="14.4" x14ac:dyDescent="0.3">
      <c r="A386" s="502">
        <v>1310587</v>
      </c>
      <c r="B386" s="503" t="s">
        <v>2195</v>
      </c>
      <c r="C386" s="514">
        <v>0</v>
      </c>
      <c r="D386" s="514">
        <v>0</v>
      </c>
      <c r="E386" s="514">
        <v>0</v>
      </c>
      <c r="F386" s="514">
        <v>0</v>
      </c>
      <c r="G386" s="514">
        <v>0</v>
      </c>
      <c r="H386" s="514">
        <v>0</v>
      </c>
      <c r="I386" s="514">
        <v>0</v>
      </c>
      <c r="J386" s="514">
        <v>0</v>
      </c>
      <c r="K386" s="514">
        <v>0</v>
      </c>
      <c r="L386" s="514">
        <v>0</v>
      </c>
      <c r="M386" s="514">
        <v>0</v>
      </c>
      <c r="N386" s="514">
        <v>0</v>
      </c>
      <c r="O386" s="499"/>
      <c r="P386" s="499"/>
      <c r="Q386" s="499"/>
    </row>
    <row r="387" spans="1:17" ht="14.4" x14ac:dyDescent="0.3">
      <c r="A387" s="502">
        <v>1310588</v>
      </c>
      <c r="B387" s="503" t="s">
        <v>2196</v>
      </c>
      <c r="C387" s="514">
        <v>0</v>
      </c>
      <c r="D387" s="514">
        <v>0</v>
      </c>
      <c r="E387" s="514">
        <v>0</v>
      </c>
      <c r="F387" s="514">
        <v>0</v>
      </c>
      <c r="G387" s="514">
        <v>0</v>
      </c>
      <c r="H387" s="514">
        <v>0</v>
      </c>
      <c r="I387" s="514">
        <v>0</v>
      </c>
      <c r="J387" s="514">
        <v>0</v>
      </c>
      <c r="K387" s="514">
        <v>0</v>
      </c>
      <c r="L387" s="514">
        <v>0</v>
      </c>
      <c r="M387" s="514">
        <v>0</v>
      </c>
      <c r="N387" s="514">
        <v>0</v>
      </c>
      <c r="O387" s="499"/>
      <c r="P387" s="499"/>
      <c r="Q387" s="499"/>
    </row>
    <row r="388" spans="1:17" ht="14.4" x14ac:dyDescent="0.3">
      <c r="A388" s="502">
        <v>1310590</v>
      </c>
      <c r="B388" s="503" t="s">
        <v>2197</v>
      </c>
      <c r="C388" s="514">
        <v>0</v>
      </c>
      <c r="D388" s="514">
        <v>0</v>
      </c>
      <c r="E388" s="514">
        <v>0</v>
      </c>
      <c r="F388" s="514">
        <v>0</v>
      </c>
      <c r="G388" s="514">
        <v>0</v>
      </c>
      <c r="H388" s="514">
        <v>0</v>
      </c>
      <c r="I388" s="514">
        <v>0</v>
      </c>
      <c r="J388" s="514">
        <v>0</v>
      </c>
      <c r="K388" s="514">
        <v>0</v>
      </c>
      <c r="L388" s="514">
        <v>0</v>
      </c>
      <c r="M388" s="514">
        <v>0</v>
      </c>
      <c r="N388" s="514">
        <v>0</v>
      </c>
      <c r="O388" s="499"/>
      <c r="P388" s="499"/>
      <c r="Q388" s="499"/>
    </row>
    <row r="389" spans="1:17" ht="14.4" x14ac:dyDescent="0.3">
      <c r="A389" s="502">
        <v>1310591</v>
      </c>
      <c r="B389" s="503" t="s">
        <v>2198</v>
      </c>
      <c r="C389" s="514">
        <v>0</v>
      </c>
      <c r="D389" s="514">
        <v>0</v>
      </c>
      <c r="E389" s="514">
        <v>0</v>
      </c>
      <c r="F389" s="514">
        <v>0</v>
      </c>
      <c r="G389" s="514">
        <v>0</v>
      </c>
      <c r="H389" s="514">
        <v>0</v>
      </c>
      <c r="I389" s="514">
        <v>0</v>
      </c>
      <c r="J389" s="514">
        <v>0</v>
      </c>
      <c r="K389" s="514">
        <v>0</v>
      </c>
      <c r="L389" s="514">
        <v>0</v>
      </c>
      <c r="M389" s="514">
        <v>0</v>
      </c>
      <c r="N389" s="514">
        <v>0</v>
      </c>
      <c r="O389" s="499"/>
      <c r="P389" s="499"/>
      <c r="Q389" s="499"/>
    </row>
    <row r="390" spans="1:17" ht="14.4" x14ac:dyDescent="0.3">
      <c r="A390" s="502">
        <v>1310592</v>
      </c>
      <c r="B390" s="503" t="s">
        <v>2199</v>
      </c>
      <c r="C390" s="514">
        <v>0</v>
      </c>
      <c r="D390" s="514">
        <v>0</v>
      </c>
      <c r="E390" s="514">
        <v>0</v>
      </c>
      <c r="F390" s="514">
        <v>0</v>
      </c>
      <c r="G390" s="514">
        <v>0</v>
      </c>
      <c r="H390" s="514">
        <v>0</v>
      </c>
      <c r="I390" s="514">
        <v>0</v>
      </c>
      <c r="J390" s="514">
        <v>0</v>
      </c>
      <c r="K390" s="514">
        <v>0</v>
      </c>
      <c r="L390" s="514">
        <v>0</v>
      </c>
      <c r="M390" s="514">
        <v>0</v>
      </c>
      <c r="N390" s="514">
        <v>0</v>
      </c>
      <c r="O390" s="499"/>
      <c r="P390" s="499"/>
      <c r="Q390" s="499"/>
    </row>
    <row r="391" spans="1:17" ht="14.4" x14ac:dyDescent="0.3">
      <c r="A391" s="502">
        <v>1310593</v>
      </c>
      <c r="B391" s="503" t="s">
        <v>2200</v>
      </c>
      <c r="C391" s="514">
        <v>0</v>
      </c>
      <c r="D391" s="514">
        <v>0</v>
      </c>
      <c r="E391" s="514">
        <v>0</v>
      </c>
      <c r="F391" s="514">
        <v>0</v>
      </c>
      <c r="G391" s="514">
        <v>0</v>
      </c>
      <c r="H391" s="514">
        <v>0</v>
      </c>
      <c r="I391" s="514">
        <v>0</v>
      </c>
      <c r="J391" s="514">
        <v>0</v>
      </c>
      <c r="K391" s="514">
        <v>0</v>
      </c>
      <c r="L391" s="514">
        <v>0</v>
      </c>
      <c r="M391" s="514">
        <v>0</v>
      </c>
      <c r="N391" s="514">
        <v>0</v>
      </c>
      <c r="O391" s="499"/>
      <c r="P391" s="499"/>
      <c r="Q391" s="499"/>
    </row>
    <row r="392" spans="1:17" ht="14.4" x14ac:dyDescent="0.3">
      <c r="A392" s="502">
        <v>1310594</v>
      </c>
      <c r="B392" s="503" t="s">
        <v>2201</v>
      </c>
      <c r="C392" s="514">
        <v>0</v>
      </c>
      <c r="D392" s="514">
        <v>0</v>
      </c>
      <c r="E392" s="514">
        <v>0</v>
      </c>
      <c r="F392" s="514">
        <v>0</v>
      </c>
      <c r="G392" s="514">
        <v>0</v>
      </c>
      <c r="H392" s="514">
        <v>0</v>
      </c>
      <c r="I392" s="514">
        <v>0</v>
      </c>
      <c r="J392" s="514">
        <v>0</v>
      </c>
      <c r="K392" s="514">
        <v>0</v>
      </c>
      <c r="L392" s="514">
        <v>0</v>
      </c>
      <c r="M392" s="514">
        <v>0</v>
      </c>
      <c r="N392" s="514">
        <v>0</v>
      </c>
      <c r="O392" s="499"/>
      <c r="P392" s="499"/>
      <c r="Q392" s="499"/>
    </row>
    <row r="393" spans="1:17" ht="14.4" x14ac:dyDescent="0.3">
      <c r="A393" s="502">
        <v>1310595</v>
      </c>
      <c r="B393" s="503" t="s">
        <v>2202</v>
      </c>
      <c r="C393" s="514">
        <v>0</v>
      </c>
      <c r="D393" s="514">
        <v>0</v>
      </c>
      <c r="E393" s="514">
        <v>0</v>
      </c>
      <c r="F393" s="514">
        <v>0</v>
      </c>
      <c r="G393" s="514">
        <v>0</v>
      </c>
      <c r="H393" s="514">
        <v>0</v>
      </c>
      <c r="I393" s="514">
        <v>0</v>
      </c>
      <c r="J393" s="514">
        <v>0</v>
      </c>
      <c r="K393" s="514">
        <v>0</v>
      </c>
      <c r="L393" s="514">
        <v>0</v>
      </c>
      <c r="M393" s="514">
        <v>0</v>
      </c>
      <c r="N393" s="514">
        <v>0</v>
      </c>
      <c r="O393" s="499"/>
      <c r="P393" s="499"/>
      <c r="Q393" s="499"/>
    </row>
    <row r="394" spans="1:17" ht="14.4" x14ac:dyDescent="0.3">
      <c r="A394" s="502">
        <v>1310596</v>
      </c>
      <c r="B394" s="503" t="s">
        <v>2203</v>
      </c>
      <c r="C394" s="514">
        <v>0</v>
      </c>
      <c r="D394" s="514">
        <v>0</v>
      </c>
      <c r="E394" s="514">
        <v>0</v>
      </c>
      <c r="F394" s="514">
        <v>0</v>
      </c>
      <c r="G394" s="514">
        <v>0</v>
      </c>
      <c r="H394" s="514">
        <v>0</v>
      </c>
      <c r="I394" s="514">
        <v>0</v>
      </c>
      <c r="J394" s="514">
        <v>0</v>
      </c>
      <c r="K394" s="514">
        <v>0</v>
      </c>
      <c r="L394" s="514">
        <v>0</v>
      </c>
      <c r="M394" s="514">
        <v>0</v>
      </c>
      <c r="N394" s="514">
        <v>0</v>
      </c>
      <c r="O394" s="499"/>
      <c r="P394" s="499"/>
      <c r="Q394" s="499"/>
    </row>
    <row r="395" spans="1:17" ht="14.4" x14ac:dyDescent="0.3">
      <c r="A395" s="502">
        <v>1310597</v>
      </c>
      <c r="B395" s="503" t="s">
        <v>2204</v>
      </c>
      <c r="C395" s="514">
        <v>0</v>
      </c>
      <c r="D395" s="514">
        <v>0</v>
      </c>
      <c r="E395" s="514">
        <v>0</v>
      </c>
      <c r="F395" s="514">
        <v>0</v>
      </c>
      <c r="G395" s="514">
        <v>0</v>
      </c>
      <c r="H395" s="514">
        <v>0</v>
      </c>
      <c r="I395" s="514">
        <v>0</v>
      </c>
      <c r="J395" s="514">
        <v>0</v>
      </c>
      <c r="K395" s="514">
        <v>0</v>
      </c>
      <c r="L395" s="514">
        <v>0</v>
      </c>
      <c r="M395" s="514">
        <v>0</v>
      </c>
      <c r="N395" s="514">
        <v>0</v>
      </c>
      <c r="O395" s="499"/>
      <c r="P395" s="499"/>
      <c r="Q395" s="499"/>
    </row>
    <row r="396" spans="1:17" ht="14.4" x14ac:dyDescent="0.3">
      <c r="A396" s="502">
        <v>1310598</v>
      </c>
      <c r="B396" s="503" t="s">
        <v>2205</v>
      </c>
      <c r="C396" s="514">
        <v>0</v>
      </c>
      <c r="D396" s="514">
        <v>0</v>
      </c>
      <c r="E396" s="514">
        <v>0</v>
      </c>
      <c r="F396" s="514">
        <v>0</v>
      </c>
      <c r="G396" s="514">
        <v>0</v>
      </c>
      <c r="H396" s="514">
        <v>0</v>
      </c>
      <c r="I396" s="514">
        <v>0</v>
      </c>
      <c r="J396" s="514">
        <v>0</v>
      </c>
      <c r="K396" s="514">
        <v>0</v>
      </c>
      <c r="L396" s="514">
        <v>0</v>
      </c>
      <c r="M396" s="514">
        <v>0</v>
      </c>
      <c r="N396" s="514">
        <v>0</v>
      </c>
      <c r="O396" s="499"/>
      <c r="P396" s="499"/>
      <c r="Q396" s="499"/>
    </row>
    <row r="397" spans="1:17" ht="14.4" x14ac:dyDescent="0.3">
      <c r="A397" s="502">
        <v>1310600</v>
      </c>
      <c r="B397" s="503" t="s">
        <v>2206</v>
      </c>
      <c r="C397" s="514">
        <v>0</v>
      </c>
      <c r="D397" s="514">
        <v>0</v>
      </c>
      <c r="E397" s="514">
        <v>0</v>
      </c>
      <c r="F397" s="514">
        <v>0</v>
      </c>
      <c r="G397" s="514">
        <v>0</v>
      </c>
      <c r="H397" s="514">
        <v>0</v>
      </c>
      <c r="I397" s="514">
        <v>0</v>
      </c>
      <c r="J397" s="514">
        <v>0</v>
      </c>
      <c r="K397" s="514">
        <v>0</v>
      </c>
      <c r="L397" s="514">
        <v>0</v>
      </c>
      <c r="M397" s="514">
        <v>0</v>
      </c>
      <c r="N397" s="514">
        <v>0</v>
      </c>
      <c r="O397" s="499"/>
      <c r="P397" s="499"/>
      <c r="Q397" s="499"/>
    </row>
    <row r="398" spans="1:17" ht="14.4" x14ac:dyDescent="0.3">
      <c r="A398" s="502">
        <v>1310601</v>
      </c>
      <c r="B398" s="503" t="s">
        <v>2207</v>
      </c>
      <c r="C398" s="514">
        <v>0</v>
      </c>
      <c r="D398" s="514">
        <v>0</v>
      </c>
      <c r="E398" s="514">
        <v>0</v>
      </c>
      <c r="F398" s="514">
        <v>0</v>
      </c>
      <c r="G398" s="514">
        <v>0</v>
      </c>
      <c r="H398" s="514">
        <v>0</v>
      </c>
      <c r="I398" s="514">
        <v>0</v>
      </c>
      <c r="J398" s="514">
        <v>0</v>
      </c>
      <c r="K398" s="514">
        <v>0</v>
      </c>
      <c r="L398" s="514">
        <v>0</v>
      </c>
      <c r="M398" s="514">
        <v>0</v>
      </c>
      <c r="N398" s="514">
        <v>0</v>
      </c>
      <c r="O398" s="499"/>
      <c r="P398" s="499"/>
      <c r="Q398" s="499"/>
    </row>
    <row r="399" spans="1:17" ht="14.4" x14ac:dyDescent="0.3">
      <c r="A399" s="502">
        <v>1310602</v>
      </c>
      <c r="B399" s="503" t="s">
        <v>2208</v>
      </c>
      <c r="C399" s="514">
        <v>0</v>
      </c>
      <c r="D399" s="514">
        <v>0</v>
      </c>
      <c r="E399" s="514">
        <v>0</v>
      </c>
      <c r="F399" s="514">
        <v>0</v>
      </c>
      <c r="G399" s="514">
        <v>0</v>
      </c>
      <c r="H399" s="514">
        <v>0</v>
      </c>
      <c r="I399" s="514">
        <v>0</v>
      </c>
      <c r="J399" s="514">
        <v>0</v>
      </c>
      <c r="K399" s="514">
        <v>0</v>
      </c>
      <c r="L399" s="514">
        <v>0</v>
      </c>
      <c r="M399" s="514">
        <v>0</v>
      </c>
      <c r="N399" s="514">
        <v>0</v>
      </c>
      <c r="O399" s="499"/>
      <c r="P399" s="499"/>
      <c r="Q399" s="499"/>
    </row>
    <row r="400" spans="1:17" ht="14.4" x14ac:dyDescent="0.3">
      <c r="A400" s="502">
        <v>1310603</v>
      </c>
      <c r="B400" s="503" t="s">
        <v>2209</v>
      </c>
      <c r="C400" s="514">
        <v>0</v>
      </c>
      <c r="D400" s="514">
        <v>0</v>
      </c>
      <c r="E400" s="514">
        <v>0</v>
      </c>
      <c r="F400" s="514">
        <v>0</v>
      </c>
      <c r="G400" s="514">
        <v>0</v>
      </c>
      <c r="H400" s="514">
        <v>0</v>
      </c>
      <c r="I400" s="514">
        <v>0</v>
      </c>
      <c r="J400" s="514">
        <v>0</v>
      </c>
      <c r="K400" s="514">
        <v>0</v>
      </c>
      <c r="L400" s="514">
        <v>0</v>
      </c>
      <c r="M400" s="514">
        <v>0</v>
      </c>
      <c r="N400" s="514">
        <v>0</v>
      </c>
      <c r="O400" s="499"/>
      <c r="P400" s="499"/>
      <c r="Q400" s="499"/>
    </row>
    <row r="401" spans="1:17" ht="14.4" x14ac:dyDescent="0.3">
      <c r="A401" s="502">
        <v>1310604</v>
      </c>
      <c r="B401" s="503" t="s">
        <v>2210</v>
      </c>
      <c r="C401" s="514">
        <v>0</v>
      </c>
      <c r="D401" s="514">
        <v>0</v>
      </c>
      <c r="E401" s="514">
        <v>0</v>
      </c>
      <c r="F401" s="514">
        <v>0</v>
      </c>
      <c r="G401" s="514">
        <v>0</v>
      </c>
      <c r="H401" s="514">
        <v>0</v>
      </c>
      <c r="I401" s="514">
        <v>0</v>
      </c>
      <c r="J401" s="514">
        <v>0</v>
      </c>
      <c r="K401" s="514">
        <v>0</v>
      </c>
      <c r="L401" s="514">
        <v>0</v>
      </c>
      <c r="M401" s="514">
        <v>0</v>
      </c>
      <c r="N401" s="514">
        <v>0</v>
      </c>
      <c r="O401" s="499"/>
      <c r="P401" s="499"/>
      <c r="Q401" s="499"/>
    </row>
    <row r="402" spans="1:17" ht="14.4" x14ac:dyDescent="0.3">
      <c r="A402" s="502">
        <v>1310605</v>
      </c>
      <c r="B402" s="503" t="s">
        <v>2211</v>
      </c>
      <c r="C402" s="514">
        <v>0</v>
      </c>
      <c r="D402" s="514">
        <v>0</v>
      </c>
      <c r="E402" s="514">
        <v>0</v>
      </c>
      <c r="F402" s="514">
        <v>0</v>
      </c>
      <c r="G402" s="514">
        <v>0</v>
      </c>
      <c r="H402" s="514">
        <v>0</v>
      </c>
      <c r="I402" s="514">
        <v>0</v>
      </c>
      <c r="J402" s="514">
        <v>0</v>
      </c>
      <c r="K402" s="514">
        <v>0</v>
      </c>
      <c r="L402" s="514">
        <v>0</v>
      </c>
      <c r="M402" s="514">
        <v>0</v>
      </c>
      <c r="N402" s="514">
        <v>0</v>
      </c>
      <c r="O402" s="499"/>
      <c r="P402" s="499"/>
      <c r="Q402" s="499"/>
    </row>
    <row r="403" spans="1:17" ht="14.4" x14ac:dyDescent="0.3">
      <c r="A403" s="502">
        <v>1310606</v>
      </c>
      <c r="B403" s="503" t="s">
        <v>2212</v>
      </c>
      <c r="C403" s="514">
        <v>0</v>
      </c>
      <c r="D403" s="514">
        <v>0</v>
      </c>
      <c r="E403" s="514">
        <v>0</v>
      </c>
      <c r="F403" s="514">
        <v>0</v>
      </c>
      <c r="G403" s="514">
        <v>0</v>
      </c>
      <c r="H403" s="514">
        <v>0</v>
      </c>
      <c r="I403" s="514">
        <v>0</v>
      </c>
      <c r="J403" s="514">
        <v>0</v>
      </c>
      <c r="K403" s="514">
        <v>0</v>
      </c>
      <c r="L403" s="514">
        <v>0</v>
      </c>
      <c r="M403" s="514">
        <v>0</v>
      </c>
      <c r="N403" s="514">
        <v>0</v>
      </c>
      <c r="O403" s="499"/>
      <c r="P403" s="499"/>
      <c r="Q403" s="499"/>
    </row>
    <row r="404" spans="1:17" ht="14.4" x14ac:dyDescent="0.3">
      <c r="A404" s="502">
        <v>1310607</v>
      </c>
      <c r="B404" s="503" t="s">
        <v>2213</v>
      </c>
      <c r="C404" s="514">
        <v>0</v>
      </c>
      <c r="D404" s="514">
        <v>0</v>
      </c>
      <c r="E404" s="514">
        <v>0</v>
      </c>
      <c r="F404" s="514">
        <v>0</v>
      </c>
      <c r="G404" s="514">
        <v>0</v>
      </c>
      <c r="H404" s="514">
        <v>0</v>
      </c>
      <c r="I404" s="514">
        <v>0</v>
      </c>
      <c r="J404" s="514">
        <v>0</v>
      </c>
      <c r="K404" s="514">
        <v>0</v>
      </c>
      <c r="L404" s="514">
        <v>0</v>
      </c>
      <c r="M404" s="514">
        <v>0</v>
      </c>
      <c r="N404" s="514">
        <v>0</v>
      </c>
      <c r="O404" s="499"/>
      <c r="P404" s="499"/>
      <c r="Q404" s="499"/>
    </row>
    <row r="405" spans="1:17" ht="14.4" x14ac:dyDescent="0.3">
      <c r="A405" s="502">
        <v>1310608</v>
      </c>
      <c r="B405" s="503" t="s">
        <v>2214</v>
      </c>
      <c r="C405" s="514">
        <v>0</v>
      </c>
      <c r="D405" s="514">
        <v>0</v>
      </c>
      <c r="E405" s="514">
        <v>0</v>
      </c>
      <c r="F405" s="514">
        <v>0</v>
      </c>
      <c r="G405" s="514">
        <v>0</v>
      </c>
      <c r="H405" s="514">
        <v>0</v>
      </c>
      <c r="I405" s="514">
        <v>0</v>
      </c>
      <c r="J405" s="514">
        <v>0</v>
      </c>
      <c r="K405" s="514">
        <v>0</v>
      </c>
      <c r="L405" s="514">
        <v>0</v>
      </c>
      <c r="M405" s="514">
        <v>0</v>
      </c>
      <c r="N405" s="514">
        <v>0</v>
      </c>
      <c r="O405" s="499"/>
      <c r="P405" s="499"/>
      <c r="Q405" s="499"/>
    </row>
    <row r="406" spans="1:17" ht="14.4" x14ac:dyDescent="0.3">
      <c r="A406" s="502">
        <v>1310610</v>
      </c>
      <c r="B406" s="503" t="s">
        <v>2215</v>
      </c>
      <c r="C406" s="514">
        <v>0</v>
      </c>
      <c r="D406" s="514">
        <v>0</v>
      </c>
      <c r="E406" s="514">
        <v>0</v>
      </c>
      <c r="F406" s="514">
        <v>0</v>
      </c>
      <c r="G406" s="514">
        <v>0</v>
      </c>
      <c r="H406" s="514">
        <v>0</v>
      </c>
      <c r="I406" s="514">
        <v>0</v>
      </c>
      <c r="J406" s="514">
        <v>0</v>
      </c>
      <c r="K406" s="514">
        <v>0</v>
      </c>
      <c r="L406" s="514">
        <v>0</v>
      </c>
      <c r="M406" s="514">
        <v>0</v>
      </c>
      <c r="N406" s="514">
        <v>0</v>
      </c>
      <c r="O406" s="499"/>
      <c r="P406" s="499"/>
      <c r="Q406" s="499"/>
    </row>
    <row r="407" spans="1:17" ht="14.4" x14ac:dyDescent="0.3">
      <c r="A407" s="502">
        <v>1310620</v>
      </c>
      <c r="B407" s="503" t="s">
        <v>2216</v>
      </c>
      <c r="C407" s="514">
        <v>0</v>
      </c>
      <c r="D407" s="514">
        <v>0</v>
      </c>
      <c r="E407" s="514">
        <v>0</v>
      </c>
      <c r="F407" s="514">
        <v>0</v>
      </c>
      <c r="G407" s="514">
        <v>0</v>
      </c>
      <c r="H407" s="514">
        <v>0</v>
      </c>
      <c r="I407" s="514">
        <v>0</v>
      </c>
      <c r="J407" s="514">
        <v>0</v>
      </c>
      <c r="K407" s="514">
        <v>0</v>
      </c>
      <c r="L407" s="514">
        <v>0</v>
      </c>
      <c r="M407" s="514">
        <v>0</v>
      </c>
      <c r="N407" s="514">
        <v>0</v>
      </c>
      <c r="O407" s="499"/>
      <c r="P407" s="499"/>
      <c r="Q407" s="499"/>
    </row>
    <row r="408" spans="1:17" ht="14.4" x14ac:dyDescent="0.3">
      <c r="A408" s="502">
        <v>1310630</v>
      </c>
      <c r="B408" s="503" t="s">
        <v>2217</v>
      </c>
      <c r="C408" s="514">
        <v>0</v>
      </c>
      <c r="D408" s="514">
        <v>0</v>
      </c>
      <c r="E408" s="514">
        <v>0</v>
      </c>
      <c r="F408" s="514">
        <v>0</v>
      </c>
      <c r="G408" s="514">
        <v>0</v>
      </c>
      <c r="H408" s="514">
        <v>0</v>
      </c>
      <c r="I408" s="514">
        <v>0</v>
      </c>
      <c r="J408" s="514">
        <v>0</v>
      </c>
      <c r="K408" s="514">
        <v>0</v>
      </c>
      <c r="L408" s="514">
        <v>0</v>
      </c>
      <c r="M408" s="514">
        <v>0</v>
      </c>
      <c r="N408" s="514">
        <v>0</v>
      </c>
      <c r="O408" s="499"/>
      <c r="P408" s="499"/>
      <c r="Q408" s="499"/>
    </row>
    <row r="409" spans="1:17" ht="14.4" x14ac:dyDescent="0.3">
      <c r="A409" s="502">
        <v>1310640</v>
      </c>
      <c r="B409" s="503" t="s">
        <v>2218</v>
      </c>
      <c r="C409" s="514">
        <v>0</v>
      </c>
      <c r="D409" s="514">
        <v>0</v>
      </c>
      <c r="E409" s="514">
        <v>0</v>
      </c>
      <c r="F409" s="514">
        <v>0</v>
      </c>
      <c r="G409" s="514">
        <v>0</v>
      </c>
      <c r="H409" s="514">
        <v>0</v>
      </c>
      <c r="I409" s="514">
        <v>0</v>
      </c>
      <c r="J409" s="514">
        <v>0</v>
      </c>
      <c r="K409" s="514">
        <v>0</v>
      </c>
      <c r="L409" s="514">
        <v>0</v>
      </c>
      <c r="M409" s="514">
        <v>0</v>
      </c>
      <c r="N409" s="514">
        <v>0</v>
      </c>
      <c r="O409" s="499"/>
      <c r="P409" s="499"/>
      <c r="Q409" s="499"/>
    </row>
    <row r="410" spans="1:17" ht="14.4" x14ac:dyDescent="0.3">
      <c r="A410" s="502">
        <v>1310647</v>
      </c>
      <c r="B410" s="503" t="s">
        <v>2219</v>
      </c>
      <c r="C410" s="514">
        <v>0</v>
      </c>
      <c r="D410" s="514">
        <v>0</v>
      </c>
      <c r="E410" s="514">
        <v>0</v>
      </c>
      <c r="F410" s="514">
        <v>0</v>
      </c>
      <c r="G410" s="514">
        <v>0</v>
      </c>
      <c r="H410" s="514">
        <v>0</v>
      </c>
      <c r="I410" s="514">
        <v>0</v>
      </c>
      <c r="J410" s="514">
        <v>0</v>
      </c>
      <c r="K410" s="514">
        <v>0</v>
      </c>
      <c r="L410" s="514">
        <v>0</v>
      </c>
      <c r="M410" s="514">
        <v>0</v>
      </c>
      <c r="N410" s="514">
        <v>0</v>
      </c>
      <c r="O410" s="499"/>
      <c r="P410" s="499"/>
      <c r="Q410" s="499"/>
    </row>
    <row r="411" spans="1:17" ht="14.4" x14ac:dyDescent="0.3">
      <c r="A411" s="502">
        <v>1310650</v>
      </c>
      <c r="B411" s="503" t="s">
        <v>2220</v>
      </c>
      <c r="C411" s="514">
        <v>0</v>
      </c>
      <c r="D411" s="514">
        <v>0</v>
      </c>
      <c r="E411" s="514">
        <v>0</v>
      </c>
      <c r="F411" s="514">
        <v>0</v>
      </c>
      <c r="G411" s="514">
        <v>0</v>
      </c>
      <c r="H411" s="514">
        <v>0</v>
      </c>
      <c r="I411" s="514">
        <v>0</v>
      </c>
      <c r="J411" s="514">
        <v>0</v>
      </c>
      <c r="K411" s="514">
        <v>0</v>
      </c>
      <c r="L411" s="514">
        <v>0</v>
      </c>
      <c r="M411" s="514">
        <v>0</v>
      </c>
      <c r="N411" s="514">
        <v>0</v>
      </c>
      <c r="O411" s="499"/>
      <c r="P411" s="499"/>
      <c r="Q411" s="499"/>
    </row>
    <row r="412" spans="1:17" ht="14.4" x14ac:dyDescent="0.3">
      <c r="A412" s="502">
        <v>1310651</v>
      </c>
      <c r="B412" s="503" t="s">
        <v>2221</v>
      </c>
      <c r="C412" s="514">
        <v>0</v>
      </c>
      <c r="D412" s="514">
        <v>0</v>
      </c>
      <c r="E412" s="514">
        <v>0</v>
      </c>
      <c r="F412" s="514">
        <v>0</v>
      </c>
      <c r="G412" s="514">
        <v>0</v>
      </c>
      <c r="H412" s="514">
        <v>0</v>
      </c>
      <c r="I412" s="514">
        <v>0</v>
      </c>
      <c r="J412" s="514">
        <v>0</v>
      </c>
      <c r="K412" s="514">
        <v>0</v>
      </c>
      <c r="L412" s="514">
        <v>0</v>
      </c>
      <c r="M412" s="514">
        <v>0</v>
      </c>
      <c r="N412" s="514">
        <v>0</v>
      </c>
      <c r="O412" s="499"/>
      <c r="P412" s="499"/>
      <c r="Q412" s="499"/>
    </row>
    <row r="413" spans="1:17" ht="14.4" x14ac:dyDescent="0.3">
      <c r="A413" s="502">
        <v>1310652</v>
      </c>
      <c r="B413" s="503" t="s">
        <v>2222</v>
      </c>
      <c r="C413" s="514">
        <v>0</v>
      </c>
      <c r="D413" s="514">
        <v>0</v>
      </c>
      <c r="E413" s="514">
        <v>0</v>
      </c>
      <c r="F413" s="514">
        <v>0</v>
      </c>
      <c r="G413" s="514">
        <v>0</v>
      </c>
      <c r="H413" s="514">
        <v>0</v>
      </c>
      <c r="I413" s="514">
        <v>0</v>
      </c>
      <c r="J413" s="514">
        <v>0</v>
      </c>
      <c r="K413" s="514">
        <v>0</v>
      </c>
      <c r="L413" s="514">
        <v>0</v>
      </c>
      <c r="M413" s="514">
        <v>0</v>
      </c>
      <c r="N413" s="514">
        <v>0</v>
      </c>
      <c r="O413" s="499"/>
      <c r="P413" s="499"/>
      <c r="Q413" s="499"/>
    </row>
    <row r="414" spans="1:17" ht="14.4" x14ac:dyDescent="0.3">
      <c r="A414" s="502">
        <v>1310653</v>
      </c>
      <c r="B414" s="503" t="s">
        <v>2223</v>
      </c>
      <c r="C414" s="514">
        <v>0</v>
      </c>
      <c r="D414" s="514">
        <v>0</v>
      </c>
      <c r="E414" s="514">
        <v>0</v>
      </c>
      <c r="F414" s="514">
        <v>0</v>
      </c>
      <c r="G414" s="514">
        <v>0</v>
      </c>
      <c r="H414" s="514">
        <v>0</v>
      </c>
      <c r="I414" s="514">
        <v>0</v>
      </c>
      <c r="J414" s="514">
        <v>0</v>
      </c>
      <c r="K414" s="514">
        <v>0</v>
      </c>
      <c r="L414" s="514">
        <v>0</v>
      </c>
      <c r="M414" s="514">
        <v>0</v>
      </c>
      <c r="N414" s="514">
        <v>0</v>
      </c>
      <c r="O414" s="499"/>
      <c r="P414" s="499"/>
      <c r="Q414" s="499"/>
    </row>
    <row r="415" spans="1:17" ht="14.4" x14ac:dyDescent="0.3">
      <c r="A415" s="502">
        <v>1310654</v>
      </c>
      <c r="B415" s="503" t="s">
        <v>2224</v>
      </c>
      <c r="C415" s="514">
        <v>0</v>
      </c>
      <c r="D415" s="514">
        <v>0</v>
      </c>
      <c r="E415" s="514">
        <v>0</v>
      </c>
      <c r="F415" s="514">
        <v>0</v>
      </c>
      <c r="G415" s="514">
        <v>0</v>
      </c>
      <c r="H415" s="514">
        <v>0</v>
      </c>
      <c r="I415" s="514">
        <v>0</v>
      </c>
      <c r="J415" s="514">
        <v>0</v>
      </c>
      <c r="K415" s="514">
        <v>0</v>
      </c>
      <c r="L415" s="514">
        <v>0</v>
      </c>
      <c r="M415" s="514">
        <v>0</v>
      </c>
      <c r="N415" s="514">
        <v>0</v>
      </c>
      <c r="O415" s="499"/>
      <c r="P415" s="499"/>
      <c r="Q415" s="499"/>
    </row>
    <row r="416" spans="1:17" ht="14.4" x14ac:dyDescent="0.3">
      <c r="A416" s="502">
        <v>1310655</v>
      </c>
      <c r="B416" s="503" t="s">
        <v>2225</v>
      </c>
      <c r="C416" s="514">
        <v>0</v>
      </c>
      <c r="D416" s="514">
        <v>0</v>
      </c>
      <c r="E416" s="514">
        <v>0</v>
      </c>
      <c r="F416" s="514">
        <v>0</v>
      </c>
      <c r="G416" s="514">
        <v>0</v>
      </c>
      <c r="H416" s="514">
        <v>0</v>
      </c>
      <c r="I416" s="514">
        <v>0</v>
      </c>
      <c r="J416" s="514">
        <v>0</v>
      </c>
      <c r="K416" s="514">
        <v>0</v>
      </c>
      <c r="L416" s="514">
        <v>0</v>
      </c>
      <c r="M416" s="514">
        <v>0</v>
      </c>
      <c r="N416" s="514">
        <v>0</v>
      </c>
      <c r="O416" s="499"/>
      <c r="P416" s="499"/>
      <c r="Q416" s="499"/>
    </row>
    <row r="417" spans="1:17" ht="14.4" x14ac:dyDescent="0.3">
      <c r="A417" s="502">
        <v>1310656</v>
      </c>
      <c r="B417" s="503" t="s">
        <v>2226</v>
      </c>
      <c r="C417" s="514">
        <v>0</v>
      </c>
      <c r="D417" s="514">
        <v>0</v>
      </c>
      <c r="E417" s="514">
        <v>0</v>
      </c>
      <c r="F417" s="514">
        <v>0</v>
      </c>
      <c r="G417" s="514">
        <v>0</v>
      </c>
      <c r="H417" s="514">
        <v>0</v>
      </c>
      <c r="I417" s="514">
        <v>0</v>
      </c>
      <c r="J417" s="514">
        <v>0</v>
      </c>
      <c r="K417" s="514">
        <v>0</v>
      </c>
      <c r="L417" s="514">
        <v>0</v>
      </c>
      <c r="M417" s="514">
        <v>0</v>
      </c>
      <c r="N417" s="514">
        <v>0</v>
      </c>
      <c r="O417" s="499"/>
      <c r="P417" s="499"/>
      <c r="Q417" s="499"/>
    </row>
    <row r="418" spans="1:17" ht="14.4" x14ac:dyDescent="0.3">
      <c r="A418" s="502">
        <v>1310657</v>
      </c>
      <c r="B418" s="503" t="s">
        <v>2227</v>
      </c>
      <c r="C418" s="514">
        <v>0</v>
      </c>
      <c r="D418" s="514">
        <v>0</v>
      </c>
      <c r="E418" s="514">
        <v>0</v>
      </c>
      <c r="F418" s="514">
        <v>0</v>
      </c>
      <c r="G418" s="514">
        <v>0</v>
      </c>
      <c r="H418" s="514">
        <v>0</v>
      </c>
      <c r="I418" s="514">
        <v>0</v>
      </c>
      <c r="J418" s="514">
        <v>0</v>
      </c>
      <c r="K418" s="514">
        <v>0</v>
      </c>
      <c r="L418" s="514">
        <v>0</v>
      </c>
      <c r="M418" s="514">
        <v>0</v>
      </c>
      <c r="N418" s="514">
        <v>0</v>
      </c>
      <c r="O418" s="499"/>
      <c r="P418" s="499"/>
      <c r="Q418" s="499"/>
    </row>
    <row r="419" spans="1:17" ht="14.4" x14ac:dyDescent="0.3">
      <c r="A419" s="502">
        <v>1310658</v>
      </c>
      <c r="B419" s="503" t="s">
        <v>2228</v>
      </c>
      <c r="C419" s="514">
        <v>0</v>
      </c>
      <c r="D419" s="514">
        <v>0</v>
      </c>
      <c r="E419" s="514">
        <v>0</v>
      </c>
      <c r="F419" s="514">
        <v>0</v>
      </c>
      <c r="G419" s="514">
        <v>0</v>
      </c>
      <c r="H419" s="514">
        <v>0</v>
      </c>
      <c r="I419" s="514">
        <v>0</v>
      </c>
      <c r="J419" s="514">
        <v>0</v>
      </c>
      <c r="K419" s="514">
        <v>0</v>
      </c>
      <c r="L419" s="514">
        <v>0</v>
      </c>
      <c r="M419" s="514">
        <v>0</v>
      </c>
      <c r="N419" s="514">
        <v>0</v>
      </c>
      <c r="O419" s="499"/>
      <c r="P419" s="499"/>
      <c r="Q419" s="499"/>
    </row>
    <row r="420" spans="1:17" ht="14.4" x14ac:dyDescent="0.3">
      <c r="A420" s="502">
        <v>1310660</v>
      </c>
      <c r="B420" s="503" t="s">
        <v>2229</v>
      </c>
      <c r="C420" s="514">
        <v>0</v>
      </c>
      <c r="D420" s="514">
        <v>0</v>
      </c>
      <c r="E420" s="514">
        <v>0</v>
      </c>
      <c r="F420" s="514">
        <v>0</v>
      </c>
      <c r="G420" s="514">
        <v>0</v>
      </c>
      <c r="H420" s="514">
        <v>0</v>
      </c>
      <c r="I420" s="514">
        <v>0</v>
      </c>
      <c r="J420" s="514">
        <v>0</v>
      </c>
      <c r="K420" s="514">
        <v>0</v>
      </c>
      <c r="L420" s="514">
        <v>0</v>
      </c>
      <c r="M420" s="514">
        <v>0</v>
      </c>
      <c r="N420" s="514">
        <v>0</v>
      </c>
      <c r="O420" s="499"/>
      <c r="P420" s="499"/>
      <c r="Q420" s="499"/>
    </row>
    <row r="421" spans="1:17" ht="14.4" x14ac:dyDescent="0.3">
      <c r="A421" s="502">
        <v>1310670</v>
      </c>
      <c r="B421" s="503" t="s">
        <v>2230</v>
      </c>
      <c r="C421" s="514">
        <v>0</v>
      </c>
      <c r="D421" s="514">
        <v>0</v>
      </c>
      <c r="E421" s="514">
        <v>0</v>
      </c>
      <c r="F421" s="514">
        <v>0</v>
      </c>
      <c r="G421" s="514">
        <v>0</v>
      </c>
      <c r="H421" s="514">
        <v>0</v>
      </c>
      <c r="I421" s="514">
        <v>0</v>
      </c>
      <c r="J421" s="514">
        <v>0</v>
      </c>
      <c r="K421" s="514">
        <v>0</v>
      </c>
      <c r="L421" s="514">
        <v>0</v>
      </c>
      <c r="M421" s="514">
        <v>0</v>
      </c>
      <c r="N421" s="514">
        <v>0</v>
      </c>
      <c r="O421" s="499"/>
      <c r="P421" s="499"/>
      <c r="Q421" s="499"/>
    </row>
    <row r="422" spans="1:17" ht="14.4" x14ac:dyDescent="0.3">
      <c r="A422" s="502">
        <v>1310671</v>
      </c>
      <c r="B422" s="503" t="s">
        <v>2231</v>
      </c>
      <c r="C422" s="514">
        <v>0</v>
      </c>
      <c r="D422" s="514">
        <v>0</v>
      </c>
      <c r="E422" s="514">
        <v>0</v>
      </c>
      <c r="F422" s="514">
        <v>0</v>
      </c>
      <c r="G422" s="514">
        <v>0</v>
      </c>
      <c r="H422" s="514">
        <v>0</v>
      </c>
      <c r="I422" s="514">
        <v>0</v>
      </c>
      <c r="J422" s="514">
        <v>0</v>
      </c>
      <c r="K422" s="514">
        <v>0</v>
      </c>
      <c r="L422" s="514">
        <v>0</v>
      </c>
      <c r="M422" s="514">
        <v>0</v>
      </c>
      <c r="N422" s="514">
        <v>0</v>
      </c>
      <c r="O422" s="499"/>
      <c r="P422" s="499"/>
      <c r="Q422" s="499"/>
    </row>
    <row r="423" spans="1:17" ht="14.4" x14ac:dyDescent="0.3">
      <c r="A423" s="502">
        <v>1310672</v>
      </c>
      <c r="B423" s="503" t="s">
        <v>2232</v>
      </c>
      <c r="C423" s="514">
        <v>0</v>
      </c>
      <c r="D423" s="514">
        <v>0</v>
      </c>
      <c r="E423" s="514">
        <v>0</v>
      </c>
      <c r="F423" s="514">
        <v>0</v>
      </c>
      <c r="G423" s="514">
        <v>0</v>
      </c>
      <c r="H423" s="514">
        <v>0</v>
      </c>
      <c r="I423" s="514">
        <v>0</v>
      </c>
      <c r="J423" s="514">
        <v>0</v>
      </c>
      <c r="K423" s="514">
        <v>0</v>
      </c>
      <c r="L423" s="514">
        <v>0</v>
      </c>
      <c r="M423" s="514">
        <v>0</v>
      </c>
      <c r="N423" s="514">
        <v>0</v>
      </c>
      <c r="O423" s="499"/>
      <c r="P423" s="499"/>
      <c r="Q423" s="499"/>
    </row>
    <row r="424" spans="1:17" ht="14.4" x14ac:dyDescent="0.3">
      <c r="A424" s="502">
        <v>1310673</v>
      </c>
      <c r="B424" s="503" t="s">
        <v>2233</v>
      </c>
      <c r="C424" s="514">
        <v>0</v>
      </c>
      <c r="D424" s="514">
        <v>0</v>
      </c>
      <c r="E424" s="514">
        <v>0</v>
      </c>
      <c r="F424" s="514">
        <v>0</v>
      </c>
      <c r="G424" s="514">
        <v>0</v>
      </c>
      <c r="H424" s="514">
        <v>0</v>
      </c>
      <c r="I424" s="514">
        <v>0</v>
      </c>
      <c r="J424" s="514">
        <v>0</v>
      </c>
      <c r="K424" s="514">
        <v>0</v>
      </c>
      <c r="L424" s="514">
        <v>0</v>
      </c>
      <c r="M424" s="514">
        <v>0</v>
      </c>
      <c r="N424" s="514">
        <v>0</v>
      </c>
      <c r="O424" s="499"/>
      <c r="P424" s="499"/>
      <c r="Q424" s="499"/>
    </row>
    <row r="425" spans="1:17" ht="14.4" x14ac:dyDescent="0.3">
      <c r="A425" s="502">
        <v>1310674</v>
      </c>
      <c r="B425" s="503" t="s">
        <v>2234</v>
      </c>
      <c r="C425" s="514">
        <v>0</v>
      </c>
      <c r="D425" s="514">
        <v>0</v>
      </c>
      <c r="E425" s="514">
        <v>0</v>
      </c>
      <c r="F425" s="514">
        <v>0</v>
      </c>
      <c r="G425" s="514">
        <v>0</v>
      </c>
      <c r="H425" s="514">
        <v>0</v>
      </c>
      <c r="I425" s="514">
        <v>0</v>
      </c>
      <c r="J425" s="514">
        <v>0</v>
      </c>
      <c r="K425" s="514">
        <v>0</v>
      </c>
      <c r="L425" s="514">
        <v>0</v>
      </c>
      <c r="M425" s="514">
        <v>0</v>
      </c>
      <c r="N425" s="514">
        <v>0</v>
      </c>
      <c r="O425" s="499"/>
      <c r="P425" s="499"/>
      <c r="Q425" s="499"/>
    </row>
    <row r="426" spans="1:17" ht="14.4" x14ac:dyDescent="0.3">
      <c r="A426" s="502">
        <v>1310675</v>
      </c>
      <c r="B426" s="503" t="s">
        <v>2235</v>
      </c>
      <c r="C426" s="514">
        <v>0</v>
      </c>
      <c r="D426" s="514">
        <v>0</v>
      </c>
      <c r="E426" s="514">
        <v>0</v>
      </c>
      <c r="F426" s="514">
        <v>0</v>
      </c>
      <c r="G426" s="514">
        <v>0</v>
      </c>
      <c r="H426" s="514">
        <v>0</v>
      </c>
      <c r="I426" s="514">
        <v>0</v>
      </c>
      <c r="J426" s="514">
        <v>0</v>
      </c>
      <c r="K426" s="514">
        <v>0</v>
      </c>
      <c r="L426" s="514">
        <v>0</v>
      </c>
      <c r="M426" s="514">
        <v>0</v>
      </c>
      <c r="N426" s="514">
        <v>0</v>
      </c>
      <c r="O426" s="499"/>
      <c r="P426" s="499"/>
      <c r="Q426" s="499"/>
    </row>
    <row r="427" spans="1:17" ht="14.4" x14ac:dyDescent="0.3">
      <c r="A427" s="502">
        <v>1310676</v>
      </c>
      <c r="B427" s="503" t="s">
        <v>2236</v>
      </c>
      <c r="C427" s="514">
        <v>0</v>
      </c>
      <c r="D427" s="514">
        <v>0</v>
      </c>
      <c r="E427" s="514">
        <v>0</v>
      </c>
      <c r="F427" s="514">
        <v>0</v>
      </c>
      <c r="G427" s="514">
        <v>0</v>
      </c>
      <c r="H427" s="514">
        <v>0</v>
      </c>
      <c r="I427" s="514">
        <v>0</v>
      </c>
      <c r="J427" s="514">
        <v>0</v>
      </c>
      <c r="K427" s="514">
        <v>0</v>
      </c>
      <c r="L427" s="514">
        <v>0</v>
      </c>
      <c r="M427" s="514">
        <v>0</v>
      </c>
      <c r="N427" s="514">
        <v>0</v>
      </c>
      <c r="O427" s="499"/>
      <c r="P427" s="499"/>
      <c r="Q427" s="499"/>
    </row>
    <row r="428" spans="1:17" ht="14.4" x14ac:dyDescent="0.3">
      <c r="A428" s="502">
        <v>1310677</v>
      </c>
      <c r="B428" s="503" t="s">
        <v>2237</v>
      </c>
      <c r="C428" s="514">
        <v>0</v>
      </c>
      <c r="D428" s="514">
        <v>0</v>
      </c>
      <c r="E428" s="514">
        <v>0</v>
      </c>
      <c r="F428" s="514">
        <v>0</v>
      </c>
      <c r="G428" s="514">
        <v>0</v>
      </c>
      <c r="H428" s="514">
        <v>0</v>
      </c>
      <c r="I428" s="514">
        <v>0</v>
      </c>
      <c r="J428" s="514">
        <v>0</v>
      </c>
      <c r="K428" s="514">
        <v>0</v>
      </c>
      <c r="L428" s="514">
        <v>0</v>
      </c>
      <c r="M428" s="514">
        <v>0</v>
      </c>
      <c r="N428" s="514">
        <v>0</v>
      </c>
      <c r="O428" s="499"/>
      <c r="P428" s="499"/>
      <c r="Q428" s="499"/>
    </row>
    <row r="429" spans="1:17" ht="14.4" x14ac:dyDescent="0.3">
      <c r="A429" s="502">
        <v>1310678</v>
      </c>
      <c r="B429" s="503" t="s">
        <v>2238</v>
      </c>
      <c r="C429" s="514">
        <v>0</v>
      </c>
      <c r="D429" s="514">
        <v>0</v>
      </c>
      <c r="E429" s="514">
        <v>0</v>
      </c>
      <c r="F429" s="514">
        <v>0</v>
      </c>
      <c r="G429" s="514">
        <v>0</v>
      </c>
      <c r="H429" s="514">
        <v>0</v>
      </c>
      <c r="I429" s="514">
        <v>0</v>
      </c>
      <c r="J429" s="514">
        <v>0</v>
      </c>
      <c r="K429" s="514">
        <v>0</v>
      </c>
      <c r="L429" s="514">
        <v>0</v>
      </c>
      <c r="M429" s="514">
        <v>0</v>
      </c>
      <c r="N429" s="514">
        <v>0</v>
      </c>
      <c r="O429" s="499"/>
      <c r="P429" s="499"/>
      <c r="Q429" s="499"/>
    </row>
    <row r="430" spans="1:17" ht="14.4" x14ac:dyDescent="0.3">
      <c r="A430" s="502">
        <v>1310680</v>
      </c>
      <c r="B430" s="503" t="s">
        <v>2239</v>
      </c>
      <c r="C430" s="514">
        <v>0</v>
      </c>
      <c r="D430" s="514">
        <v>0</v>
      </c>
      <c r="E430" s="514">
        <v>0</v>
      </c>
      <c r="F430" s="514">
        <v>0</v>
      </c>
      <c r="G430" s="514">
        <v>0</v>
      </c>
      <c r="H430" s="514">
        <v>0</v>
      </c>
      <c r="I430" s="514">
        <v>0</v>
      </c>
      <c r="J430" s="514">
        <v>0</v>
      </c>
      <c r="K430" s="514">
        <v>0</v>
      </c>
      <c r="L430" s="514">
        <v>0</v>
      </c>
      <c r="M430" s="514">
        <v>0</v>
      </c>
      <c r="N430" s="514">
        <v>0</v>
      </c>
      <c r="O430" s="499"/>
      <c r="P430" s="499"/>
      <c r="Q430" s="499"/>
    </row>
    <row r="431" spans="1:17" ht="14.4" x14ac:dyDescent="0.3">
      <c r="A431" s="502">
        <v>1310690</v>
      </c>
      <c r="B431" s="503" t="s">
        <v>2240</v>
      </c>
      <c r="C431" s="514">
        <v>0</v>
      </c>
      <c r="D431" s="514">
        <v>0</v>
      </c>
      <c r="E431" s="514">
        <v>0</v>
      </c>
      <c r="F431" s="514">
        <v>0</v>
      </c>
      <c r="G431" s="514">
        <v>0</v>
      </c>
      <c r="H431" s="514">
        <v>0</v>
      </c>
      <c r="I431" s="514">
        <v>0</v>
      </c>
      <c r="J431" s="514">
        <v>0</v>
      </c>
      <c r="K431" s="514">
        <v>0</v>
      </c>
      <c r="L431" s="514">
        <v>0</v>
      </c>
      <c r="M431" s="514">
        <v>0</v>
      </c>
      <c r="N431" s="514">
        <v>0</v>
      </c>
      <c r="O431" s="499"/>
      <c r="P431" s="499"/>
      <c r="Q431" s="499"/>
    </row>
    <row r="432" spans="1:17" ht="14.4" x14ac:dyDescent="0.3">
      <c r="A432" s="502">
        <v>1310700</v>
      </c>
      <c r="B432" s="503" t="s">
        <v>2241</v>
      </c>
      <c r="C432" s="514">
        <v>0</v>
      </c>
      <c r="D432" s="514">
        <v>0</v>
      </c>
      <c r="E432" s="514">
        <v>0</v>
      </c>
      <c r="F432" s="514">
        <v>0</v>
      </c>
      <c r="G432" s="514">
        <v>0</v>
      </c>
      <c r="H432" s="514">
        <v>0</v>
      </c>
      <c r="I432" s="514">
        <v>0</v>
      </c>
      <c r="J432" s="514">
        <v>0</v>
      </c>
      <c r="K432" s="514">
        <v>0</v>
      </c>
      <c r="L432" s="514">
        <v>0</v>
      </c>
      <c r="M432" s="514">
        <v>0</v>
      </c>
      <c r="N432" s="514">
        <v>0</v>
      </c>
      <c r="O432" s="499"/>
      <c r="P432" s="499"/>
      <c r="Q432" s="499"/>
    </row>
    <row r="433" spans="1:17" ht="14.4" x14ac:dyDescent="0.3">
      <c r="A433" s="502">
        <v>1310701</v>
      </c>
      <c r="B433" s="503" t="s">
        <v>2242</v>
      </c>
      <c r="C433" s="514">
        <v>0</v>
      </c>
      <c r="D433" s="514">
        <v>0</v>
      </c>
      <c r="E433" s="514">
        <v>0</v>
      </c>
      <c r="F433" s="514">
        <v>0</v>
      </c>
      <c r="G433" s="514">
        <v>0</v>
      </c>
      <c r="H433" s="514">
        <v>0</v>
      </c>
      <c r="I433" s="514">
        <v>0</v>
      </c>
      <c r="J433" s="514">
        <v>0</v>
      </c>
      <c r="K433" s="514">
        <v>0</v>
      </c>
      <c r="L433" s="514">
        <v>0</v>
      </c>
      <c r="M433" s="514">
        <v>0</v>
      </c>
      <c r="N433" s="514">
        <v>0</v>
      </c>
      <c r="O433" s="499"/>
      <c r="P433" s="499"/>
      <c r="Q433" s="499"/>
    </row>
    <row r="434" spans="1:17" ht="14.4" x14ac:dyDescent="0.3">
      <c r="A434" s="502">
        <v>1310702</v>
      </c>
      <c r="B434" s="503" t="s">
        <v>2243</v>
      </c>
      <c r="C434" s="514">
        <v>0</v>
      </c>
      <c r="D434" s="514">
        <v>0</v>
      </c>
      <c r="E434" s="514">
        <v>0</v>
      </c>
      <c r="F434" s="514">
        <v>0</v>
      </c>
      <c r="G434" s="514">
        <v>0</v>
      </c>
      <c r="H434" s="514">
        <v>0</v>
      </c>
      <c r="I434" s="514">
        <v>0</v>
      </c>
      <c r="J434" s="514">
        <v>0</v>
      </c>
      <c r="K434" s="514">
        <v>0</v>
      </c>
      <c r="L434" s="514">
        <v>0</v>
      </c>
      <c r="M434" s="514">
        <v>0</v>
      </c>
      <c r="N434" s="514">
        <v>0</v>
      </c>
      <c r="O434" s="499"/>
      <c r="P434" s="499"/>
      <c r="Q434" s="499"/>
    </row>
    <row r="435" spans="1:17" ht="14.4" x14ac:dyDescent="0.3">
      <c r="A435" s="502">
        <v>1310703</v>
      </c>
      <c r="B435" s="503" t="s">
        <v>2244</v>
      </c>
      <c r="C435" s="514">
        <v>0</v>
      </c>
      <c r="D435" s="514">
        <v>0</v>
      </c>
      <c r="E435" s="514">
        <v>0</v>
      </c>
      <c r="F435" s="514">
        <v>0</v>
      </c>
      <c r="G435" s="514">
        <v>0</v>
      </c>
      <c r="H435" s="514">
        <v>0</v>
      </c>
      <c r="I435" s="514">
        <v>0</v>
      </c>
      <c r="J435" s="514">
        <v>0</v>
      </c>
      <c r="K435" s="514">
        <v>0</v>
      </c>
      <c r="L435" s="514">
        <v>0</v>
      </c>
      <c r="M435" s="514">
        <v>0</v>
      </c>
      <c r="N435" s="514">
        <v>0</v>
      </c>
      <c r="O435" s="499"/>
      <c r="P435" s="499"/>
      <c r="Q435" s="499"/>
    </row>
    <row r="436" spans="1:17" ht="14.4" x14ac:dyDescent="0.3">
      <c r="A436" s="502">
        <v>1310704</v>
      </c>
      <c r="B436" s="503" t="s">
        <v>2245</v>
      </c>
      <c r="C436" s="514">
        <v>0</v>
      </c>
      <c r="D436" s="514">
        <v>0</v>
      </c>
      <c r="E436" s="514">
        <v>0</v>
      </c>
      <c r="F436" s="514">
        <v>0</v>
      </c>
      <c r="G436" s="514">
        <v>0</v>
      </c>
      <c r="H436" s="514">
        <v>0</v>
      </c>
      <c r="I436" s="514">
        <v>0</v>
      </c>
      <c r="J436" s="514">
        <v>0</v>
      </c>
      <c r="K436" s="514">
        <v>0</v>
      </c>
      <c r="L436" s="514">
        <v>0</v>
      </c>
      <c r="M436" s="514">
        <v>0</v>
      </c>
      <c r="N436" s="514">
        <v>0</v>
      </c>
      <c r="O436" s="499"/>
      <c r="P436" s="499"/>
      <c r="Q436" s="499"/>
    </row>
    <row r="437" spans="1:17" ht="14.4" x14ac:dyDescent="0.3">
      <c r="A437" s="502">
        <v>1310705</v>
      </c>
      <c r="B437" s="503" t="s">
        <v>2246</v>
      </c>
      <c r="C437" s="514">
        <v>0</v>
      </c>
      <c r="D437" s="514">
        <v>0</v>
      </c>
      <c r="E437" s="514">
        <v>0</v>
      </c>
      <c r="F437" s="514">
        <v>0</v>
      </c>
      <c r="G437" s="514">
        <v>0</v>
      </c>
      <c r="H437" s="514">
        <v>0</v>
      </c>
      <c r="I437" s="514">
        <v>0</v>
      </c>
      <c r="J437" s="514">
        <v>0</v>
      </c>
      <c r="K437" s="514">
        <v>0</v>
      </c>
      <c r="L437" s="514">
        <v>0</v>
      </c>
      <c r="M437" s="514">
        <v>0</v>
      </c>
      <c r="N437" s="514">
        <v>0</v>
      </c>
      <c r="O437" s="499"/>
      <c r="P437" s="499"/>
      <c r="Q437" s="499"/>
    </row>
    <row r="438" spans="1:17" ht="14.4" x14ac:dyDescent="0.3">
      <c r="A438" s="502">
        <v>1310706</v>
      </c>
      <c r="B438" s="503" t="s">
        <v>2247</v>
      </c>
      <c r="C438" s="514">
        <v>0</v>
      </c>
      <c r="D438" s="514">
        <v>0</v>
      </c>
      <c r="E438" s="514">
        <v>0</v>
      </c>
      <c r="F438" s="514">
        <v>0</v>
      </c>
      <c r="G438" s="514">
        <v>0</v>
      </c>
      <c r="H438" s="514">
        <v>0</v>
      </c>
      <c r="I438" s="514">
        <v>0</v>
      </c>
      <c r="J438" s="514">
        <v>0</v>
      </c>
      <c r="K438" s="514">
        <v>0</v>
      </c>
      <c r="L438" s="514">
        <v>0</v>
      </c>
      <c r="M438" s="514">
        <v>0</v>
      </c>
      <c r="N438" s="514">
        <v>0</v>
      </c>
      <c r="O438" s="499"/>
      <c r="P438" s="499"/>
      <c r="Q438" s="499"/>
    </row>
    <row r="439" spans="1:17" ht="14.4" x14ac:dyDescent="0.3">
      <c r="A439" s="502">
        <v>1310707</v>
      </c>
      <c r="B439" s="503" t="s">
        <v>2248</v>
      </c>
      <c r="C439" s="514">
        <v>0</v>
      </c>
      <c r="D439" s="514">
        <v>0</v>
      </c>
      <c r="E439" s="514">
        <v>0</v>
      </c>
      <c r="F439" s="514">
        <v>0</v>
      </c>
      <c r="G439" s="514">
        <v>0</v>
      </c>
      <c r="H439" s="514">
        <v>0</v>
      </c>
      <c r="I439" s="514">
        <v>0</v>
      </c>
      <c r="J439" s="514">
        <v>0</v>
      </c>
      <c r="K439" s="514">
        <v>0</v>
      </c>
      <c r="L439" s="514">
        <v>0</v>
      </c>
      <c r="M439" s="514">
        <v>0</v>
      </c>
      <c r="N439" s="514">
        <v>0</v>
      </c>
      <c r="O439" s="499"/>
      <c r="P439" s="499"/>
      <c r="Q439" s="499"/>
    </row>
    <row r="440" spans="1:17" ht="14.4" x14ac:dyDescent="0.3">
      <c r="A440" s="502">
        <v>1310708</v>
      </c>
      <c r="B440" s="503" t="s">
        <v>2249</v>
      </c>
      <c r="C440" s="514">
        <v>0</v>
      </c>
      <c r="D440" s="514">
        <v>0</v>
      </c>
      <c r="E440" s="514">
        <v>0</v>
      </c>
      <c r="F440" s="514">
        <v>0</v>
      </c>
      <c r="G440" s="514">
        <v>0</v>
      </c>
      <c r="H440" s="514">
        <v>0</v>
      </c>
      <c r="I440" s="514">
        <v>0</v>
      </c>
      <c r="J440" s="514">
        <v>0</v>
      </c>
      <c r="K440" s="514">
        <v>0</v>
      </c>
      <c r="L440" s="514">
        <v>0</v>
      </c>
      <c r="M440" s="514">
        <v>0</v>
      </c>
      <c r="N440" s="514">
        <v>0</v>
      </c>
      <c r="O440" s="499"/>
      <c r="P440" s="499"/>
      <c r="Q440" s="499"/>
    </row>
    <row r="441" spans="1:17" ht="14.4" x14ac:dyDescent="0.3">
      <c r="A441" s="502">
        <v>1310709</v>
      </c>
      <c r="B441" s="503" t="s">
        <v>2250</v>
      </c>
      <c r="C441" s="514">
        <v>0</v>
      </c>
      <c r="D441" s="514">
        <v>0</v>
      </c>
      <c r="E441" s="514">
        <v>0</v>
      </c>
      <c r="F441" s="514">
        <v>0</v>
      </c>
      <c r="G441" s="514">
        <v>0</v>
      </c>
      <c r="H441" s="514">
        <v>0</v>
      </c>
      <c r="I441" s="514">
        <v>0</v>
      </c>
      <c r="J441" s="514">
        <v>0</v>
      </c>
      <c r="K441" s="514">
        <v>0</v>
      </c>
      <c r="L441" s="514">
        <v>0</v>
      </c>
      <c r="M441" s="514">
        <v>0</v>
      </c>
      <c r="N441" s="514">
        <v>0</v>
      </c>
      <c r="O441" s="499"/>
      <c r="P441" s="499"/>
      <c r="Q441" s="499"/>
    </row>
    <row r="442" spans="1:17" ht="14.4" x14ac:dyDescent="0.3">
      <c r="A442" s="502">
        <v>1310712</v>
      </c>
      <c r="B442" s="503" t="s">
        <v>2251</v>
      </c>
      <c r="C442" s="514">
        <v>0</v>
      </c>
      <c r="D442" s="514">
        <v>0</v>
      </c>
      <c r="E442" s="514">
        <v>0</v>
      </c>
      <c r="F442" s="514">
        <v>0</v>
      </c>
      <c r="G442" s="514">
        <v>0</v>
      </c>
      <c r="H442" s="514">
        <v>0</v>
      </c>
      <c r="I442" s="514">
        <v>0</v>
      </c>
      <c r="J442" s="514">
        <v>0</v>
      </c>
      <c r="K442" s="514">
        <v>0</v>
      </c>
      <c r="L442" s="514">
        <v>0</v>
      </c>
      <c r="M442" s="514">
        <v>0</v>
      </c>
      <c r="N442" s="514">
        <v>0</v>
      </c>
      <c r="O442" s="499"/>
      <c r="P442" s="499"/>
      <c r="Q442" s="499"/>
    </row>
    <row r="443" spans="1:17" ht="14.4" x14ac:dyDescent="0.3">
      <c r="A443" s="502">
        <v>1310713</v>
      </c>
      <c r="B443" s="503" t="s">
        <v>2252</v>
      </c>
      <c r="C443" s="514">
        <v>0</v>
      </c>
      <c r="D443" s="514">
        <v>0</v>
      </c>
      <c r="E443" s="514">
        <v>0</v>
      </c>
      <c r="F443" s="514">
        <v>0</v>
      </c>
      <c r="G443" s="514">
        <v>0</v>
      </c>
      <c r="H443" s="514">
        <v>0</v>
      </c>
      <c r="I443" s="514">
        <v>0</v>
      </c>
      <c r="J443" s="514">
        <v>0</v>
      </c>
      <c r="K443" s="514">
        <v>0</v>
      </c>
      <c r="L443" s="514">
        <v>0</v>
      </c>
      <c r="M443" s="514">
        <v>0</v>
      </c>
      <c r="N443" s="514">
        <v>0</v>
      </c>
      <c r="O443" s="499"/>
      <c r="P443" s="499"/>
      <c r="Q443" s="499"/>
    </row>
    <row r="444" spans="1:17" ht="14.4" x14ac:dyDescent="0.3">
      <c r="A444" s="502">
        <v>1310714</v>
      </c>
      <c r="B444" s="503" t="s">
        <v>2253</v>
      </c>
      <c r="C444" s="514">
        <v>0</v>
      </c>
      <c r="D444" s="514">
        <v>0</v>
      </c>
      <c r="E444" s="514">
        <v>0</v>
      </c>
      <c r="F444" s="514">
        <v>0</v>
      </c>
      <c r="G444" s="514">
        <v>0</v>
      </c>
      <c r="H444" s="514">
        <v>0</v>
      </c>
      <c r="I444" s="514">
        <v>0</v>
      </c>
      <c r="J444" s="514">
        <v>0</v>
      </c>
      <c r="K444" s="514">
        <v>0</v>
      </c>
      <c r="L444" s="514">
        <v>0</v>
      </c>
      <c r="M444" s="514">
        <v>0</v>
      </c>
      <c r="N444" s="514">
        <v>0</v>
      </c>
      <c r="O444" s="499"/>
      <c r="P444" s="499"/>
      <c r="Q444" s="499"/>
    </row>
    <row r="445" spans="1:17" ht="14.4" x14ac:dyDescent="0.3">
      <c r="A445" s="502">
        <v>1310715</v>
      </c>
      <c r="B445" s="503" t="s">
        <v>2254</v>
      </c>
      <c r="C445" s="514">
        <v>0</v>
      </c>
      <c r="D445" s="514">
        <v>0</v>
      </c>
      <c r="E445" s="514">
        <v>0</v>
      </c>
      <c r="F445" s="514">
        <v>0</v>
      </c>
      <c r="G445" s="514">
        <v>0</v>
      </c>
      <c r="H445" s="514">
        <v>0</v>
      </c>
      <c r="I445" s="514">
        <v>0</v>
      </c>
      <c r="J445" s="514">
        <v>0</v>
      </c>
      <c r="K445" s="514">
        <v>0</v>
      </c>
      <c r="L445" s="514">
        <v>0</v>
      </c>
      <c r="M445" s="514">
        <v>0</v>
      </c>
      <c r="N445" s="514">
        <v>0</v>
      </c>
      <c r="O445" s="499"/>
      <c r="P445" s="499"/>
      <c r="Q445" s="499"/>
    </row>
    <row r="446" spans="1:17" ht="14.4" x14ac:dyDescent="0.3">
      <c r="A446" s="502">
        <v>1310716</v>
      </c>
      <c r="B446" s="503" t="s">
        <v>2255</v>
      </c>
      <c r="C446" s="514">
        <v>0</v>
      </c>
      <c r="D446" s="514">
        <v>0</v>
      </c>
      <c r="E446" s="514">
        <v>0</v>
      </c>
      <c r="F446" s="514">
        <v>0</v>
      </c>
      <c r="G446" s="514">
        <v>0</v>
      </c>
      <c r="H446" s="514">
        <v>0</v>
      </c>
      <c r="I446" s="514">
        <v>0</v>
      </c>
      <c r="J446" s="514">
        <v>0</v>
      </c>
      <c r="K446" s="514">
        <v>0</v>
      </c>
      <c r="L446" s="514">
        <v>0</v>
      </c>
      <c r="M446" s="514">
        <v>0</v>
      </c>
      <c r="N446" s="514">
        <v>0</v>
      </c>
      <c r="O446" s="499"/>
      <c r="P446" s="499"/>
      <c r="Q446" s="499"/>
    </row>
    <row r="447" spans="1:17" ht="14.4" x14ac:dyDescent="0.3">
      <c r="A447" s="502">
        <v>1310717</v>
      </c>
      <c r="B447" s="503" t="s">
        <v>2256</v>
      </c>
      <c r="C447" s="514">
        <v>0</v>
      </c>
      <c r="D447" s="514">
        <v>0</v>
      </c>
      <c r="E447" s="514">
        <v>0</v>
      </c>
      <c r="F447" s="514">
        <v>0</v>
      </c>
      <c r="G447" s="514">
        <v>0</v>
      </c>
      <c r="H447" s="514">
        <v>0</v>
      </c>
      <c r="I447" s="514">
        <v>0</v>
      </c>
      <c r="J447" s="514">
        <v>0</v>
      </c>
      <c r="K447" s="514">
        <v>0</v>
      </c>
      <c r="L447" s="514">
        <v>0</v>
      </c>
      <c r="M447" s="514">
        <v>0</v>
      </c>
      <c r="N447" s="514">
        <v>0</v>
      </c>
      <c r="O447" s="499"/>
      <c r="P447" s="499"/>
      <c r="Q447" s="499"/>
    </row>
    <row r="448" spans="1:17" ht="14.4" x14ac:dyDescent="0.3">
      <c r="A448" s="502">
        <v>1310718</v>
      </c>
      <c r="B448" s="503" t="s">
        <v>2257</v>
      </c>
      <c r="C448" s="514">
        <v>0</v>
      </c>
      <c r="D448" s="514">
        <v>0</v>
      </c>
      <c r="E448" s="514">
        <v>0</v>
      </c>
      <c r="F448" s="514">
        <v>0</v>
      </c>
      <c r="G448" s="514">
        <v>0</v>
      </c>
      <c r="H448" s="514">
        <v>0</v>
      </c>
      <c r="I448" s="514">
        <v>0</v>
      </c>
      <c r="J448" s="514">
        <v>0</v>
      </c>
      <c r="K448" s="514">
        <v>0</v>
      </c>
      <c r="L448" s="514">
        <v>0</v>
      </c>
      <c r="M448" s="514">
        <v>0</v>
      </c>
      <c r="N448" s="514">
        <v>0</v>
      </c>
      <c r="O448" s="499"/>
      <c r="P448" s="499"/>
      <c r="Q448" s="499"/>
    </row>
    <row r="449" spans="1:17" ht="14.4" x14ac:dyDescent="0.3">
      <c r="A449" s="502">
        <v>1310719</v>
      </c>
      <c r="B449" s="503" t="s">
        <v>2258</v>
      </c>
      <c r="C449" s="514">
        <v>0</v>
      </c>
      <c r="D449" s="514">
        <v>0</v>
      </c>
      <c r="E449" s="514">
        <v>0</v>
      </c>
      <c r="F449" s="514">
        <v>0</v>
      </c>
      <c r="G449" s="514">
        <v>0</v>
      </c>
      <c r="H449" s="514">
        <v>0</v>
      </c>
      <c r="I449" s="514">
        <v>0</v>
      </c>
      <c r="J449" s="514">
        <v>0</v>
      </c>
      <c r="K449" s="514">
        <v>0</v>
      </c>
      <c r="L449" s="514">
        <v>0</v>
      </c>
      <c r="M449" s="514">
        <v>0</v>
      </c>
      <c r="N449" s="514">
        <v>0</v>
      </c>
      <c r="O449" s="499"/>
      <c r="P449" s="499"/>
      <c r="Q449" s="499"/>
    </row>
    <row r="450" spans="1:17" ht="14.4" x14ac:dyDescent="0.3">
      <c r="A450" s="502">
        <v>1310722</v>
      </c>
      <c r="B450" s="503" t="s">
        <v>2259</v>
      </c>
      <c r="C450" s="514">
        <v>0</v>
      </c>
      <c r="D450" s="514">
        <v>0</v>
      </c>
      <c r="E450" s="514">
        <v>0</v>
      </c>
      <c r="F450" s="514">
        <v>0</v>
      </c>
      <c r="G450" s="514">
        <v>0</v>
      </c>
      <c r="H450" s="514">
        <v>0</v>
      </c>
      <c r="I450" s="514">
        <v>0</v>
      </c>
      <c r="J450" s="514">
        <v>0</v>
      </c>
      <c r="K450" s="514">
        <v>0</v>
      </c>
      <c r="L450" s="514">
        <v>0</v>
      </c>
      <c r="M450" s="514">
        <v>0</v>
      </c>
      <c r="N450" s="514">
        <v>0</v>
      </c>
      <c r="O450" s="499"/>
      <c r="P450" s="499"/>
      <c r="Q450" s="499"/>
    </row>
    <row r="451" spans="1:17" ht="14.4" x14ac:dyDescent="0.3">
      <c r="A451" s="502">
        <v>1310723</v>
      </c>
      <c r="B451" s="503" t="s">
        <v>2260</v>
      </c>
      <c r="C451" s="514">
        <v>0</v>
      </c>
      <c r="D451" s="514">
        <v>0</v>
      </c>
      <c r="E451" s="514">
        <v>0</v>
      </c>
      <c r="F451" s="514">
        <v>0</v>
      </c>
      <c r="G451" s="514">
        <v>0</v>
      </c>
      <c r="H451" s="514">
        <v>0</v>
      </c>
      <c r="I451" s="514">
        <v>0</v>
      </c>
      <c r="J451" s="514">
        <v>0</v>
      </c>
      <c r="K451" s="514">
        <v>0</v>
      </c>
      <c r="L451" s="514">
        <v>0</v>
      </c>
      <c r="M451" s="514">
        <v>0</v>
      </c>
      <c r="N451" s="514">
        <v>0</v>
      </c>
      <c r="O451" s="499"/>
      <c r="P451" s="499"/>
      <c r="Q451" s="499"/>
    </row>
    <row r="452" spans="1:17" ht="14.4" x14ac:dyDescent="0.3">
      <c r="A452" s="502">
        <v>1310724</v>
      </c>
      <c r="B452" s="503" t="s">
        <v>2261</v>
      </c>
      <c r="C452" s="514">
        <v>0</v>
      </c>
      <c r="D452" s="514">
        <v>0</v>
      </c>
      <c r="E452" s="514">
        <v>0</v>
      </c>
      <c r="F452" s="514">
        <v>0</v>
      </c>
      <c r="G452" s="514">
        <v>0</v>
      </c>
      <c r="H452" s="514">
        <v>0</v>
      </c>
      <c r="I452" s="514">
        <v>0</v>
      </c>
      <c r="J452" s="514">
        <v>0</v>
      </c>
      <c r="K452" s="514">
        <v>0</v>
      </c>
      <c r="L452" s="514">
        <v>0</v>
      </c>
      <c r="M452" s="514">
        <v>0</v>
      </c>
      <c r="N452" s="514">
        <v>0</v>
      </c>
      <c r="O452" s="499"/>
      <c r="P452" s="499"/>
      <c r="Q452" s="499"/>
    </row>
    <row r="453" spans="1:17" ht="14.4" x14ac:dyDescent="0.3">
      <c r="A453" s="502">
        <v>1310725</v>
      </c>
      <c r="B453" s="503" t="s">
        <v>2262</v>
      </c>
      <c r="C453" s="514">
        <v>0</v>
      </c>
      <c r="D453" s="514">
        <v>0</v>
      </c>
      <c r="E453" s="514">
        <v>0</v>
      </c>
      <c r="F453" s="514">
        <v>0</v>
      </c>
      <c r="G453" s="514">
        <v>0</v>
      </c>
      <c r="H453" s="514">
        <v>0</v>
      </c>
      <c r="I453" s="514">
        <v>0</v>
      </c>
      <c r="J453" s="514">
        <v>0</v>
      </c>
      <c r="K453" s="514">
        <v>0</v>
      </c>
      <c r="L453" s="514">
        <v>0</v>
      </c>
      <c r="M453" s="514">
        <v>0</v>
      </c>
      <c r="N453" s="514">
        <v>0</v>
      </c>
      <c r="O453" s="499"/>
      <c r="P453" s="499"/>
      <c r="Q453" s="499"/>
    </row>
    <row r="454" spans="1:17" ht="14.4" x14ac:dyDescent="0.3">
      <c r="A454" s="502">
        <v>1310726</v>
      </c>
      <c r="B454" s="503" t="s">
        <v>2263</v>
      </c>
      <c r="C454" s="514">
        <v>0</v>
      </c>
      <c r="D454" s="514">
        <v>0</v>
      </c>
      <c r="E454" s="514">
        <v>0</v>
      </c>
      <c r="F454" s="514">
        <v>0</v>
      </c>
      <c r="G454" s="514">
        <v>0</v>
      </c>
      <c r="H454" s="514">
        <v>0</v>
      </c>
      <c r="I454" s="514">
        <v>0</v>
      </c>
      <c r="J454" s="514">
        <v>0</v>
      </c>
      <c r="K454" s="514">
        <v>0</v>
      </c>
      <c r="L454" s="514">
        <v>0</v>
      </c>
      <c r="M454" s="514">
        <v>0</v>
      </c>
      <c r="N454" s="514">
        <v>0</v>
      </c>
      <c r="O454" s="499"/>
      <c r="P454" s="499"/>
      <c r="Q454" s="499"/>
    </row>
    <row r="455" spans="1:17" ht="14.4" x14ac:dyDescent="0.3">
      <c r="A455" s="502">
        <v>1310727</v>
      </c>
      <c r="B455" s="503" t="s">
        <v>2264</v>
      </c>
      <c r="C455" s="514">
        <v>0</v>
      </c>
      <c r="D455" s="514">
        <v>0</v>
      </c>
      <c r="E455" s="514">
        <v>0</v>
      </c>
      <c r="F455" s="514">
        <v>0</v>
      </c>
      <c r="G455" s="514">
        <v>0</v>
      </c>
      <c r="H455" s="514">
        <v>0</v>
      </c>
      <c r="I455" s="514">
        <v>0</v>
      </c>
      <c r="J455" s="514">
        <v>0</v>
      </c>
      <c r="K455" s="514">
        <v>0</v>
      </c>
      <c r="L455" s="514">
        <v>0</v>
      </c>
      <c r="M455" s="514">
        <v>0</v>
      </c>
      <c r="N455" s="514">
        <v>0</v>
      </c>
      <c r="O455" s="499"/>
      <c r="P455" s="499"/>
      <c r="Q455" s="499"/>
    </row>
    <row r="456" spans="1:17" ht="14.4" x14ac:dyDescent="0.3">
      <c r="A456" s="502">
        <v>1310728</v>
      </c>
      <c r="B456" s="503" t="s">
        <v>2265</v>
      </c>
      <c r="C456" s="514">
        <v>0</v>
      </c>
      <c r="D456" s="514">
        <v>0</v>
      </c>
      <c r="E456" s="514">
        <v>0</v>
      </c>
      <c r="F456" s="514">
        <v>0</v>
      </c>
      <c r="G456" s="514">
        <v>0</v>
      </c>
      <c r="H456" s="514">
        <v>0</v>
      </c>
      <c r="I456" s="514">
        <v>0</v>
      </c>
      <c r="J456" s="514">
        <v>0</v>
      </c>
      <c r="K456" s="514">
        <v>0</v>
      </c>
      <c r="L456" s="514">
        <v>0</v>
      </c>
      <c r="M456" s="514">
        <v>0</v>
      </c>
      <c r="N456" s="514">
        <v>0</v>
      </c>
      <c r="O456" s="499"/>
      <c r="P456" s="499"/>
      <c r="Q456" s="499"/>
    </row>
    <row r="457" spans="1:17" ht="14.4" x14ac:dyDescent="0.3">
      <c r="A457" s="502">
        <v>1310729</v>
      </c>
      <c r="B457" s="503" t="s">
        <v>2266</v>
      </c>
      <c r="C457" s="514">
        <v>0</v>
      </c>
      <c r="D457" s="514">
        <v>0</v>
      </c>
      <c r="E457" s="514">
        <v>0</v>
      </c>
      <c r="F457" s="514">
        <v>0</v>
      </c>
      <c r="G457" s="514">
        <v>0</v>
      </c>
      <c r="H457" s="514">
        <v>0</v>
      </c>
      <c r="I457" s="514">
        <v>0</v>
      </c>
      <c r="J457" s="514">
        <v>0</v>
      </c>
      <c r="K457" s="514">
        <v>0</v>
      </c>
      <c r="L457" s="514">
        <v>0</v>
      </c>
      <c r="M457" s="514">
        <v>0</v>
      </c>
      <c r="N457" s="514">
        <v>0</v>
      </c>
      <c r="O457" s="499"/>
      <c r="P457" s="499"/>
      <c r="Q457" s="499"/>
    </row>
    <row r="458" spans="1:17" ht="14.4" x14ac:dyDescent="0.3">
      <c r="A458" s="502">
        <v>1310732</v>
      </c>
      <c r="B458" s="503" t="s">
        <v>2267</v>
      </c>
      <c r="C458" s="514">
        <v>0</v>
      </c>
      <c r="D458" s="514">
        <v>0</v>
      </c>
      <c r="E458" s="514">
        <v>0</v>
      </c>
      <c r="F458" s="514">
        <v>0</v>
      </c>
      <c r="G458" s="514">
        <v>0</v>
      </c>
      <c r="H458" s="514">
        <v>0</v>
      </c>
      <c r="I458" s="514">
        <v>0</v>
      </c>
      <c r="J458" s="514">
        <v>0</v>
      </c>
      <c r="K458" s="514">
        <v>0</v>
      </c>
      <c r="L458" s="514">
        <v>0</v>
      </c>
      <c r="M458" s="514">
        <v>0</v>
      </c>
      <c r="N458" s="514">
        <v>0</v>
      </c>
      <c r="O458" s="499"/>
      <c r="P458" s="499"/>
      <c r="Q458" s="499"/>
    </row>
    <row r="459" spans="1:17" ht="14.4" x14ac:dyDescent="0.3">
      <c r="A459" s="502">
        <v>1310733</v>
      </c>
      <c r="B459" s="503" t="s">
        <v>2268</v>
      </c>
      <c r="C459" s="514">
        <v>0</v>
      </c>
      <c r="D459" s="514">
        <v>0</v>
      </c>
      <c r="E459" s="514">
        <v>0</v>
      </c>
      <c r="F459" s="514">
        <v>0</v>
      </c>
      <c r="G459" s="514">
        <v>0</v>
      </c>
      <c r="H459" s="514">
        <v>0</v>
      </c>
      <c r="I459" s="514">
        <v>0</v>
      </c>
      <c r="J459" s="514">
        <v>0</v>
      </c>
      <c r="K459" s="514">
        <v>0</v>
      </c>
      <c r="L459" s="514">
        <v>0</v>
      </c>
      <c r="M459" s="514">
        <v>0</v>
      </c>
      <c r="N459" s="514">
        <v>0</v>
      </c>
      <c r="O459" s="499"/>
      <c r="P459" s="499"/>
      <c r="Q459" s="499"/>
    </row>
    <row r="460" spans="1:17" ht="14.4" x14ac:dyDescent="0.3">
      <c r="A460" s="502">
        <v>1310734</v>
      </c>
      <c r="B460" s="503" t="s">
        <v>2269</v>
      </c>
      <c r="C460" s="514">
        <v>0</v>
      </c>
      <c r="D460" s="514">
        <v>0</v>
      </c>
      <c r="E460" s="514">
        <v>0</v>
      </c>
      <c r="F460" s="514">
        <v>0</v>
      </c>
      <c r="G460" s="514">
        <v>0</v>
      </c>
      <c r="H460" s="514">
        <v>0</v>
      </c>
      <c r="I460" s="514">
        <v>0</v>
      </c>
      <c r="J460" s="514">
        <v>0</v>
      </c>
      <c r="K460" s="514">
        <v>0</v>
      </c>
      <c r="L460" s="514">
        <v>0</v>
      </c>
      <c r="M460" s="514">
        <v>0</v>
      </c>
      <c r="N460" s="514">
        <v>0</v>
      </c>
      <c r="O460" s="499"/>
      <c r="P460" s="499"/>
      <c r="Q460" s="499"/>
    </row>
    <row r="461" spans="1:17" ht="14.4" x14ac:dyDescent="0.3">
      <c r="A461" s="502">
        <v>1310735</v>
      </c>
      <c r="B461" s="503" t="s">
        <v>2270</v>
      </c>
      <c r="C461" s="514">
        <v>0</v>
      </c>
      <c r="D461" s="514">
        <v>0</v>
      </c>
      <c r="E461" s="514">
        <v>0</v>
      </c>
      <c r="F461" s="514">
        <v>0</v>
      </c>
      <c r="G461" s="514">
        <v>0</v>
      </c>
      <c r="H461" s="514">
        <v>0</v>
      </c>
      <c r="I461" s="514">
        <v>0</v>
      </c>
      <c r="J461" s="514">
        <v>0</v>
      </c>
      <c r="K461" s="514">
        <v>0</v>
      </c>
      <c r="L461" s="514">
        <v>0</v>
      </c>
      <c r="M461" s="514">
        <v>0</v>
      </c>
      <c r="N461" s="514">
        <v>0</v>
      </c>
      <c r="O461" s="499"/>
      <c r="P461" s="499"/>
      <c r="Q461" s="499"/>
    </row>
    <row r="462" spans="1:17" ht="14.4" x14ac:dyDescent="0.3">
      <c r="A462" s="502">
        <v>1310736</v>
      </c>
      <c r="B462" s="503" t="s">
        <v>2271</v>
      </c>
      <c r="C462" s="514">
        <v>0</v>
      </c>
      <c r="D462" s="514">
        <v>0</v>
      </c>
      <c r="E462" s="514">
        <v>0</v>
      </c>
      <c r="F462" s="514">
        <v>0</v>
      </c>
      <c r="G462" s="514">
        <v>0</v>
      </c>
      <c r="H462" s="514">
        <v>0</v>
      </c>
      <c r="I462" s="514">
        <v>0</v>
      </c>
      <c r="J462" s="514">
        <v>0</v>
      </c>
      <c r="K462" s="514">
        <v>0</v>
      </c>
      <c r="L462" s="514">
        <v>0</v>
      </c>
      <c r="M462" s="514">
        <v>0</v>
      </c>
      <c r="N462" s="514">
        <v>0</v>
      </c>
      <c r="O462" s="499"/>
      <c r="P462" s="499"/>
      <c r="Q462" s="499"/>
    </row>
    <row r="463" spans="1:17" ht="14.4" x14ac:dyDescent="0.3">
      <c r="A463" s="502">
        <v>1310737</v>
      </c>
      <c r="B463" s="503" t="s">
        <v>2272</v>
      </c>
      <c r="C463" s="514">
        <v>0</v>
      </c>
      <c r="D463" s="514">
        <v>0</v>
      </c>
      <c r="E463" s="514">
        <v>0</v>
      </c>
      <c r="F463" s="514">
        <v>0</v>
      </c>
      <c r="G463" s="514">
        <v>0</v>
      </c>
      <c r="H463" s="514">
        <v>0</v>
      </c>
      <c r="I463" s="514">
        <v>0</v>
      </c>
      <c r="J463" s="514">
        <v>0</v>
      </c>
      <c r="K463" s="514">
        <v>0</v>
      </c>
      <c r="L463" s="514">
        <v>0</v>
      </c>
      <c r="M463" s="514">
        <v>0</v>
      </c>
      <c r="N463" s="514">
        <v>0</v>
      </c>
      <c r="O463" s="499"/>
      <c r="P463" s="499"/>
      <c r="Q463" s="499"/>
    </row>
    <row r="464" spans="1:17" ht="14.4" x14ac:dyDescent="0.3">
      <c r="A464" s="502">
        <v>1310738</v>
      </c>
      <c r="B464" s="503" t="s">
        <v>2273</v>
      </c>
      <c r="C464" s="514">
        <v>0</v>
      </c>
      <c r="D464" s="514">
        <v>0</v>
      </c>
      <c r="E464" s="514">
        <v>0</v>
      </c>
      <c r="F464" s="514">
        <v>0</v>
      </c>
      <c r="G464" s="514">
        <v>0</v>
      </c>
      <c r="H464" s="514">
        <v>0</v>
      </c>
      <c r="I464" s="514">
        <v>0</v>
      </c>
      <c r="J464" s="514">
        <v>0</v>
      </c>
      <c r="K464" s="514">
        <v>0</v>
      </c>
      <c r="L464" s="514">
        <v>0</v>
      </c>
      <c r="M464" s="514">
        <v>0</v>
      </c>
      <c r="N464" s="514">
        <v>0</v>
      </c>
      <c r="O464" s="499"/>
      <c r="P464" s="499"/>
      <c r="Q464" s="499"/>
    </row>
    <row r="465" spans="1:17" ht="14.4" x14ac:dyDescent="0.3">
      <c r="A465" s="502">
        <v>1310739</v>
      </c>
      <c r="B465" s="503" t="s">
        <v>2274</v>
      </c>
      <c r="C465" s="514">
        <v>0</v>
      </c>
      <c r="D465" s="514">
        <v>0</v>
      </c>
      <c r="E465" s="514">
        <v>0</v>
      </c>
      <c r="F465" s="514">
        <v>0</v>
      </c>
      <c r="G465" s="514">
        <v>0</v>
      </c>
      <c r="H465" s="514">
        <v>0</v>
      </c>
      <c r="I465" s="514">
        <v>0</v>
      </c>
      <c r="J465" s="514">
        <v>0</v>
      </c>
      <c r="K465" s="514">
        <v>0</v>
      </c>
      <c r="L465" s="514">
        <v>0</v>
      </c>
      <c r="M465" s="514">
        <v>0</v>
      </c>
      <c r="N465" s="514">
        <v>0</v>
      </c>
      <c r="O465" s="499"/>
      <c r="P465" s="499"/>
      <c r="Q465" s="499"/>
    </row>
    <row r="466" spans="1:17" ht="14.4" x14ac:dyDescent="0.3">
      <c r="A466" s="502">
        <v>1310742</v>
      </c>
      <c r="B466" s="503" t="s">
        <v>2275</v>
      </c>
      <c r="C466" s="514">
        <v>0</v>
      </c>
      <c r="D466" s="514">
        <v>0</v>
      </c>
      <c r="E466" s="514">
        <v>0</v>
      </c>
      <c r="F466" s="514">
        <v>0</v>
      </c>
      <c r="G466" s="514">
        <v>0</v>
      </c>
      <c r="H466" s="514">
        <v>0</v>
      </c>
      <c r="I466" s="514">
        <v>0</v>
      </c>
      <c r="J466" s="514">
        <v>0</v>
      </c>
      <c r="K466" s="514">
        <v>0</v>
      </c>
      <c r="L466" s="514">
        <v>0</v>
      </c>
      <c r="M466" s="514">
        <v>0</v>
      </c>
      <c r="N466" s="514">
        <v>0</v>
      </c>
      <c r="O466" s="499"/>
      <c r="P466" s="499"/>
      <c r="Q466" s="499"/>
    </row>
    <row r="467" spans="1:17" ht="14.4" x14ac:dyDescent="0.3">
      <c r="A467" s="502">
        <v>1310743</v>
      </c>
      <c r="B467" s="503" t="s">
        <v>2276</v>
      </c>
      <c r="C467" s="514">
        <v>0</v>
      </c>
      <c r="D467" s="514">
        <v>0</v>
      </c>
      <c r="E467" s="514">
        <v>0</v>
      </c>
      <c r="F467" s="514">
        <v>0</v>
      </c>
      <c r="G467" s="514">
        <v>0</v>
      </c>
      <c r="H467" s="514">
        <v>0</v>
      </c>
      <c r="I467" s="514">
        <v>0</v>
      </c>
      <c r="J467" s="514">
        <v>0</v>
      </c>
      <c r="K467" s="514">
        <v>0</v>
      </c>
      <c r="L467" s="514">
        <v>0</v>
      </c>
      <c r="M467" s="514">
        <v>0</v>
      </c>
      <c r="N467" s="514">
        <v>0</v>
      </c>
      <c r="O467" s="499"/>
      <c r="P467" s="499"/>
      <c r="Q467" s="499"/>
    </row>
    <row r="468" spans="1:17" ht="14.4" x14ac:dyDescent="0.3">
      <c r="A468" s="502">
        <v>1310744</v>
      </c>
      <c r="B468" s="503" t="s">
        <v>2277</v>
      </c>
      <c r="C468" s="514">
        <v>0</v>
      </c>
      <c r="D468" s="514">
        <v>0</v>
      </c>
      <c r="E468" s="514">
        <v>0</v>
      </c>
      <c r="F468" s="514">
        <v>0</v>
      </c>
      <c r="G468" s="514">
        <v>0</v>
      </c>
      <c r="H468" s="514">
        <v>0</v>
      </c>
      <c r="I468" s="514">
        <v>0</v>
      </c>
      <c r="J468" s="514">
        <v>0</v>
      </c>
      <c r="K468" s="514">
        <v>0</v>
      </c>
      <c r="L468" s="514">
        <v>0</v>
      </c>
      <c r="M468" s="514">
        <v>0</v>
      </c>
      <c r="N468" s="514">
        <v>0</v>
      </c>
      <c r="O468" s="499"/>
      <c r="P468" s="499"/>
      <c r="Q468" s="499"/>
    </row>
    <row r="469" spans="1:17" ht="14.4" x14ac:dyDescent="0.3">
      <c r="A469" s="502">
        <v>1310745</v>
      </c>
      <c r="B469" s="503" t="s">
        <v>2278</v>
      </c>
      <c r="C469" s="514">
        <v>0</v>
      </c>
      <c r="D469" s="514">
        <v>0</v>
      </c>
      <c r="E469" s="514">
        <v>0</v>
      </c>
      <c r="F469" s="514">
        <v>0</v>
      </c>
      <c r="G469" s="514">
        <v>0</v>
      </c>
      <c r="H469" s="514">
        <v>0</v>
      </c>
      <c r="I469" s="514">
        <v>0</v>
      </c>
      <c r="J469" s="514">
        <v>0</v>
      </c>
      <c r="K469" s="514">
        <v>0</v>
      </c>
      <c r="L469" s="514">
        <v>0</v>
      </c>
      <c r="M469" s="514">
        <v>0</v>
      </c>
      <c r="N469" s="514">
        <v>0</v>
      </c>
      <c r="O469" s="499"/>
      <c r="P469" s="499"/>
      <c r="Q469" s="499"/>
    </row>
    <row r="470" spans="1:17" ht="14.4" x14ac:dyDescent="0.3">
      <c r="A470" s="502">
        <v>1310746</v>
      </c>
      <c r="B470" s="503" t="s">
        <v>2279</v>
      </c>
      <c r="C470" s="514">
        <v>0</v>
      </c>
      <c r="D470" s="514">
        <v>0</v>
      </c>
      <c r="E470" s="514">
        <v>0</v>
      </c>
      <c r="F470" s="514">
        <v>0</v>
      </c>
      <c r="G470" s="514">
        <v>0</v>
      </c>
      <c r="H470" s="514">
        <v>0</v>
      </c>
      <c r="I470" s="514">
        <v>0</v>
      </c>
      <c r="J470" s="514">
        <v>0</v>
      </c>
      <c r="K470" s="514">
        <v>0</v>
      </c>
      <c r="L470" s="514">
        <v>0</v>
      </c>
      <c r="M470" s="514">
        <v>0</v>
      </c>
      <c r="N470" s="514">
        <v>0</v>
      </c>
      <c r="O470" s="499"/>
      <c r="P470" s="499"/>
      <c r="Q470" s="499"/>
    </row>
    <row r="471" spans="1:17" ht="14.4" x14ac:dyDescent="0.3">
      <c r="A471" s="502">
        <v>1310747</v>
      </c>
      <c r="B471" s="503" t="s">
        <v>2280</v>
      </c>
      <c r="C471" s="514">
        <v>0</v>
      </c>
      <c r="D471" s="514">
        <v>0</v>
      </c>
      <c r="E471" s="514">
        <v>0</v>
      </c>
      <c r="F471" s="514">
        <v>0</v>
      </c>
      <c r="G471" s="514">
        <v>0</v>
      </c>
      <c r="H471" s="514">
        <v>0</v>
      </c>
      <c r="I471" s="514">
        <v>0</v>
      </c>
      <c r="J471" s="514">
        <v>0</v>
      </c>
      <c r="K471" s="514">
        <v>0</v>
      </c>
      <c r="L471" s="514">
        <v>0</v>
      </c>
      <c r="M471" s="514">
        <v>0</v>
      </c>
      <c r="N471" s="514">
        <v>0</v>
      </c>
      <c r="O471" s="499"/>
      <c r="P471" s="499"/>
      <c r="Q471" s="499"/>
    </row>
    <row r="472" spans="1:17" ht="14.4" x14ac:dyDescent="0.3">
      <c r="A472" s="502">
        <v>1310748</v>
      </c>
      <c r="B472" s="503" t="s">
        <v>2281</v>
      </c>
      <c r="C472" s="514">
        <v>0</v>
      </c>
      <c r="D472" s="514">
        <v>0</v>
      </c>
      <c r="E472" s="514">
        <v>0</v>
      </c>
      <c r="F472" s="514">
        <v>0</v>
      </c>
      <c r="G472" s="514">
        <v>0</v>
      </c>
      <c r="H472" s="514">
        <v>0</v>
      </c>
      <c r="I472" s="514">
        <v>0</v>
      </c>
      <c r="J472" s="514">
        <v>0</v>
      </c>
      <c r="K472" s="514">
        <v>0</v>
      </c>
      <c r="L472" s="514">
        <v>0</v>
      </c>
      <c r="M472" s="514">
        <v>0</v>
      </c>
      <c r="N472" s="514">
        <v>0</v>
      </c>
      <c r="O472" s="499"/>
      <c r="P472" s="499"/>
      <c r="Q472" s="499"/>
    </row>
    <row r="473" spans="1:17" ht="14.4" x14ac:dyDescent="0.3">
      <c r="A473" s="502">
        <v>1310749</v>
      </c>
      <c r="B473" s="503" t="s">
        <v>2282</v>
      </c>
      <c r="C473" s="514">
        <v>0</v>
      </c>
      <c r="D473" s="514">
        <v>0</v>
      </c>
      <c r="E473" s="514">
        <v>0</v>
      </c>
      <c r="F473" s="514">
        <v>0</v>
      </c>
      <c r="G473" s="514">
        <v>0</v>
      </c>
      <c r="H473" s="514">
        <v>0</v>
      </c>
      <c r="I473" s="514">
        <v>0</v>
      </c>
      <c r="J473" s="514">
        <v>0</v>
      </c>
      <c r="K473" s="514">
        <v>0</v>
      </c>
      <c r="L473" s="514">
        <v>0</v>
      </c>
      <c r="M473" s="514">
        <v>0</v>
      </c>
      <c r="N473" s="514">
        <v>0</v>
      </c>
      <c r="O473" s="499"/>
      <c r="P473" s="499"/>
      <c r="Q473" s="499"/>
    </row>
    <row r="474" spans="1:17" ht="14.4" x14ac:dyDescent="0.3">
      <c r="A474" s="502">
        <v>1310752</v>
      </c>
      <c r="B474" s="503" t="s">
        <v>2283</v>
      </c>
      <c r="C474" s="514">
        <v>0</v>
      </c>
      <c r="D474" s="514">
        <v>0</v>
      </c>
      <c r="E474" s="514">
        <v>0</v>
      </c>
      <c r="F474" s="514">
        <v>0</v>
      </c>
      <c r="G474" s="514">
        <v>0</v>
      </c>
      <c r="H474" s="514">
        <v>0</v>
      </c>
      <c r="I474" s="514">
        <v>0</v>
      </c>
      <c r="J474" s="514">
        <v>0</v>
      </c>
      <c r="K474" s="514">
        <v>0</v>
      </c>
      <c r="L474" s="514">
        <v>0</v>
      </c>
      <c r="M474" s="514">
        <v>0</v>
      </c>
      <c r="N474" s="514">
        <v>0</v>
      </c>
      <c r="O474" s="499"/>
      <c r="P474" s="499"/>
      <c r="Q474" s="499"/>
    </row>
    <row r="475" spans="1:17" ht="14.4" x14ac:dyDescent="0.3">
      <c r="A475" s="502">
        <v>1310753</v>
      </c>
      <c r="B475" s="503" t="s">
        <v>2284</v>
      </c>
      <c r="C475" s="514">
        <v>0</v>
      </c>
      <c r="D475" s="514">
        <v>0</v>
      </c>
      <c r="E475" s="514">
        <v>0</v>
      </c>
      <c r="F475" s="514">
        <v>0</v>
      </c>
      <c r="G475" s="514">
        <v>0</v>
      </c>
      <c r="H475" s="514">
        <v>0</v>
      </c>
      <c r="I475" s="514">
        <v>0</v>
      </c>
      <c r="J475" s="514">
        <v>0</v>
      </c>
      <c r="K475" s="514">
        <v>0</v>
      </c>
      <c r="L475" s="514">
        <v>0</v>
      </c>
      <c r="M475" s="514">
        <v>0</v>
      </c>
      <c r="N475" s="514">
        <v>0</v>
      </c>
      <c r="O475" s="499"/>
      <c r="P475" s="499"/>
      <c r="Q475" s="499"/>
    </row>
    <row r="476" spans="1:17" ht="14.4" x14ac:dyDescent="0.3">
      <c r="A476" s="502">
        <v>1310754</v>
      </c>
      <c r="B476" s="503" t="s">
        <v>2285</v>
      </c>
      <c r="C476" s="514">
        <v>0</v>
      </c>
      <c r="D476" s="514">
        <v>0</v>
      </c>
      <c r="E476" s="514">
        <v>0</v>
      </c>
      <c r="F476" s="514">
        <v>0</v>
      </c>
      <c r="G476" s="514">
        <v>0</v>
      </c>
      <c r="H476" s="514">
        <v>0</v>
      </c>
      <c r="I476" s="514">
        <v>0</v>
      </c>
      <c r="J476" s="514">
        <v>0</v>
      </c>
      <c r="K476" s="514">
        <v>0</v>
      </c>
      <c r="L476" s="514">
        <v>0</v>
      </c>
      <c r="M476" s="514">
        <v>0</v>
      </c>
      <c r="N476" s="514">
        <v>0</v>
      </c>
      <c r="O476" s="499"/>
      <c r="P476" s="499"/>
      <c r="Q476" s="499"/>
    </row>
    <row r="477" spans="1:17" ht="14.4" x14ac:dyDescent="0.3">
      <c r="A477" s="502">
        <v>1310755</v>
      </c>
      <c r="B477" s="503" t="s">
        <v>2286</v>
      </c>
      <c r="C477" s="514">
        <v>0</v>
      </c>
      <c r="D477" s="514">
        <v>0</v>
      </c>
      <c r="E477" s="514">
        <v>0</v>
      </c>
      <c r="F477" s="514">
        <v>0</v>
      </c>
      <c r="G477" s="514">
        <v>0</v>
      </c>
      <c r="H477" s="514">
        <v>0</v>
      </c>
      <c r="I477" s="514">
        <v>0</v>
      </c>
      <c r="J477" s="514">
        <v>0</v>
      </c>
      <c r="K477" s="514">
        <v>0</v>
      </c>
      <c r="L477" s="514">
        <v>0</v>
      </c>
      <c r="M477" s="514">
        <v>0</v>
      </c>
      <c r="N477" s="514">
        <v>0</v>
      </c>
      <c r="O477" s="499"/>
      <c r="P477" s="499"/>
      <c r="Q477" s="499"/>
    </row>
    <row r="478" spans="1:17" ht="14.4" x14ac:dyDescent="0.3">
      <c r="A478" s="502">
        <v>1310756</v>
      </c>
      <c r="B478" s="503" t="s">
        <v>2287</v>
      </c>
      <c r="C478" s="514">
        <v>0</v>
      </c>
      <c r="D478" s="514">
        <v>0</v>
      </c>
      <c r="E478" s="514">
        <v>0</v>
      </c>
      <c r="F478" s="514">
        <v>0</v>
      </c>
      <c r="G478" s="514">
        <v>0</v>
      </c>
      <c r="H478" s="514">
        <v>0</v>
      </c>
      <c r="I478" s="514">
        <v>0</v>
      </c>
      <c r="J478" s="514">
        <v>0</v>
      </c>
      <c r="K478" s="514">
        <v>0</v>
      </c>
      <c r="L478" s="514">
        <v>0</v>
      </c>
      <c r="M478" s="514">
        <v>0</v>
      </c>
      <c r="N478" s="514">
        <v>0</v>
      </c>
      <c r="O478" s="499"/>
      <c r="P478" s="499"/>
      <c r="Q478" s="499"/>
    </row>
    <row r="479" spans="1:17" ht="14.4" x14ac:dyDescent="0.3">
      <c r="A479" s="502">
        <v>1310757</v>
      </c>
      <c r="B479" s="503" t="s">
        <v>2288</v>
      </c>
      <c r="C479" s="514">
        <v>0</v>
      </c>
      <c r="D479" s="514">
        <v>0</v>
      </c>
      <c r="E479" s="514">
        <v>0</v>
      </c>
      <c r="F479" s="514">
        <v>0</v>
      </c>
      <c r="G479" s="514">
        <v>0</v>
      </c>
      <c r="H479" s="514">
        <v>0</v>
      </c>
      <c r="I479" s="514">
        <v>0</v>
      </c>
      <c r="J479" s="514">
        <v>0</v>
      </c>
      <c r="K479" s="514">
        <v>0</v>
      </c>
      <c r="L479" s="514">
        <v>0</v>
      </c>
      <c r="M479" s="514">
        <v>0</v>
      </c>
      <c r="N479" s="514">
        <v>0</v>
      </c>
      <c r="O479" s="499"/>
      <c r="P479" s="499"/>
      <c r="Q479" s="499"/>
    </row>
    <row r="480" spans="1:17" ht="14.4" x14ac:dyDescent="0.3">
      <c r="A480" s="502">
        <v>1310758</v>
      </c>
      <c r="B480" s="503" t="s">
        <v>2289</v>
      </c>
      <c r="C480" s="514">
        <v>0</v>
      </c>
      <c r="D480" s="514">
        <v>0</v>
      </c>
      <c r="E480" s="514">
        <v>0</v>
      </c>
      <c r="F480" s="514">
        <v>0</v>
      </c>
      <c r="G480" s="514">
        <v>0</v>
      </c>
      <c r="H480" s="514">
        <v>0</v>
      </c>
      <c r="I480" s="514">
        <v>0</v>
      </c>
      <c r="J480" s="514">
        <v>0</v>
      </c>
      <c r="K480" s="514">
        <v>0</v>
      </c>
      <c r="L480" s="514">
        <v>0</v>
      </c>
      <c r="M480" s="514">
        <v>0</v>
      </c>
      <c r="N480" s="514">
        <v>0</v>
      </c>
      <c r="O480" s="499"/>
      <c r="P480" s="499"/>
      <c r="Q480" s="499"/>
    </row>
    <row r="481" spans="1:17" ht="14.4" x14ac:dyDescent="0.3">
      <c r="A481" s="502">
        <v>1310759</v>
      </c>
      <c r="B481" s="503" t="s">
        <v>2290</v>
      </c>
      <c r="C481" s="514">
        <v>0</v>
      </c>
      <c r="D481" s="514">
        <v>0</v>
      </c>
      <c r="E481" s="514">
        <v>0</v>
      </c>
      <c r="F481" s="514">
        <v>0</v>
      </c>
      <c r="G481" s="514">
        <v>0</v>
      </c>
      <c r="H481" s="514">
        <v>0</v>
      </c>
      <c r="I481" s="514">
        <v>0</v>
      </c>
      <c r="J481" s="514">
        <v>0</v>
      </c>
      <c r="K481" s="514">
        <v>0</v>
      </c>
      <c r="L481" s="514">
        <v>0</v>
      </c>
      <c r="M481" s="514">
        <v>0</v>
      </c>
      <c r="N481" s="514">
        <v>0</v>
      </c>
      <c r="O481" s="499"/>
      <c r="P481" s="499"/>
      <c r="Q481" s="499"/>
    </row>
    <row r="482" spans="1:17" ht="14.4" x14ac:dyDescent="0.3">
      <c r="A482" s="502">
        <v>1310762</v>
      </c>
      <c r="B482" s="503" t="s">
        <v>2291</v>
      </c>
      <c r="C482" s="514">
        <v>0</v>
      </c>
      <c r="D482" s="514">
        <v>0</v>
      </c>
      <c r="E482" s="514">
        <v>0</v>
      </c>
      <c r="F482" s="514">
        <v>0</v>
      </c>
      <c r="G482" s="514">
        <v>0</v>
      </c>
      <c r="H482" s="514">
        <v>0</v>
      </c>
      <c r="I482" s="514">
        <v>0</v>
      </c>
      <c r="J482" s="514">
        <v>0</v>
      </c>
      <c r="K482" s="514">
        <v>0</v>
      </c>
      <c r="L482" s="514">
        <v>0</v>
      </c>
      <c r="M482" s="514">
        <v>0</v>
      </c>
      <c r="N482" s="514">
        <v>0</v>
      </c>
      <c r="O482" s="499"/>
      <c r="P482" s="499"/>
      <c r="Q482" s="499"/>
    </row>
    <row r="483" spans="1:17" ht="14.4" x14ac:dyDescent="0.3">
      <c r="A483" s="502">
        <v>1310763</v>
      </c>
      <c r="B483" s="503" t="s">
        <v>2292</v>
      </c>
      <c r="C483" s="514">
        <v>0</v>
      </c>
      <c r="D483" s="514">
        <v>0</v>
      </c>
      <c r="E483" s="514">
        <v>0</v>
      </c>
      <c r="F483" s="514">
        <v>0</v>
      </c>
      <c r="G483" s="514">
        <v>0</v>
      </c>
      <c r="H483" s="514">
        <v>0</v>
      </c>
      <c r="I483" s="514">
        <v>0</v>
      </c>
      <c r="J483" s="514">
        <v>0</v>
      </c>
      <c r="K483" s="514">
        <v>0</v>
      </c>
      <c r="L483" s="514">
        <v>0</v>
      </c>
      <c r="M483" s="514">
        <v>0</v>
      </c>
      <c r="N483" s="514">
        <v>0</v>
      </c>
      <c r="O483" s="499"/>
      <c r="P483" s="499"/>
      <c r="Q483" s="499"/>
    </row>
    <row r="484" spans="1:17" ht="14.4" x14ac:dyDescent="0.3">
      <c r="A484" s="502">
        <v>1310770</v>
      </c>
      <c r="B484" s="503" t="s">
        <v>2293</v>
      </c>
      <c r="C484" s="514">
        <v>0</v>
      </c>
      <c r="D484" s="514">
        <v>0</v>
      </c>
      <c r="E484" s="514">
        <v>0</v>
      </c>
      <c r="F484" s="514">
        <v>0</v>
      </c>
      <c r="G484" s="514">
        <v>0</v>
      </c>
      <c r="H484" s="514">
        <v>0</v>
      </c>
      <c r="I484" s="514">
        <v>0</v>
      </c>
      <c r="J484" s="514">
        <v>0</v>
      </c>
      <c r="K484" s="514">
        <v>0</v>
      </c>
      <c r="L484" s="514">
        <v>0</v>
      </c>
      <c r="M484" s="514">
        <v>0</v>
      </c>
      <c r="N484" s="514">
        <v>0</v>
      </c>
      <c r="O484" s="499"/>
      <c r="P484" s="499"/>
      <c r="Q484" s="499"/>
    </row>
    <row r="485" spans="1:17" ht="14.4" x14ac:dyDescent="0.3">
      <c r="A485" s="502">
        <v>1310771</v>
      </c>
      <c r="B485" s="503" t="s">
        <v>2294</v>
      </c>
      <c r="C485" s="514">
        <v>0</v>
      </c>
      <c r="D485" s="514">
        <v>0</v>
      </c>
      <c r="E485" s="514">
        <v>0</v>
      </c>
      <c r="F485" s="514">
        <v>0</v>
      </c>
      <c r="G485" s="514">
        <v>0</v>
      </c>
      <c r="H485" s="514">
        <v>0</v>
      </c>
      <c r="I485" s="514">
        <v>0</v>
      </c>
      <c r="J485" s="514">
        <v>0</v>
      </c>
      <c r="K485" s="514">
        <v>0</v>
      </c>
      <c r="L485" s="514">
        <v>0</v>
      </c>
      <c r="M485" s="514">
        <v>0</v>
      </c>
      <c r="N485" s="514">
        <v>0</v>
      </c>
      <c r="O485" s="499"/>
      <c r="P485" s="499"/>
      <c r="Q485" s="499"/>
    </row>
    <row r="486" spans="1:17" ht="14.4" x14ac:dyDescent="0.3">
      <c r="A486" s="502">
        <v>1310772</v>
      </c>
      <c r="B486" s="503" t="s">
        <v>2295</v>
      </c>
      <c r="C486" s="514">
        <v>0</v>
      </c>
      <c r="D486" s="514">
        <v>0</v>
      </c>
      <c r="E486" s="514">
        <v>0</v>
      </c>
      <c r="F486" s="514">
        <v>0</v>
      </c>
      <c r="G486" s="514">
        <v>0</v>
      </c>
      <c r="H486" s="514">
        <v>0</v>
      </c>
      <c r="I486" s="514">
        <v>0</v>
      </c>
      <c r="J486" s="514">
        <v>0</v>
      </c>
      <c r="K486" s="514">
        <v>0</v>
      </c>
      <c r="L486" s="514">
        <v>0</v>
      </c>
      <c r="M486" s="514">
        <v>0</v>
      </c>
      <c r="N486" s="514">
        <v>0</v>
      </c>
      <c r="O486" s="499"/>
      <c r="P486" s="499"/>
      <c r="Q486" s="499"/>
    </row>
    <row r="487" spans="1:17" ht="14.4" x14ac:dyDescent="0.3">
      <c r="A487" s="502">
        <v>1310773</v>
      </c>
      <c r="B487" s="503" t="s">
        <v>2296</v>
      </c>
      <c r="C487" s="514">
        <v>0</v>
      </c>
      <c r="D487" s="514">
        <v>0</v>
      </c>
      <c r="E487" s="514">
        <v>0</v>
      </c>
      <c r="F487" s="514">
        <v>0</v>
      </c>
      <c r="G487" s="514">
        <v>0</v>
      </c>
      <c r="H487" s="514">
        <v>0</v>
      </c>
      <c r="I487" s="514">
        <v>0</v>
      </c>
      <c r="J487" s="514">
        <v>0</v>
      </c>
      <c r="K487" s="514">
        <v>0</v>
      </c>
      <c r="L487" s="514">
        <v>0</v>
      </c>
      <c r="M487" s="514">
        <v>0</v>
      </c>
      <c r="N487" s="514">
        <v>0</v>
      </c>
      <c r="O487" s="499"/>
      <c r="P487" s="499"/>
      <c r="Q487" s="499"/>
    </row>
    <row r="488" spans="1:17" ht="14.4" x14ac:dyDescent="0.3">
      <c r="A488" s="502">
        <v>1310774</v>
      </c>
      <c r="B488" s="503" t="s">
        <v>2297</v>
      </c>
      <c r="C488" s="514">
        <v>0</v>
      </c>
      <c r="D488" s="514">
        <v>0</v>
      </c>
      <c r="E488" s="514">
        <v>0</v>
      </c>
      <c r="F488" s="514">
        <v>0</v>
      </c>
      <c r="G488" s="514">
        <v>0</v>
      </c>
      <c r="H488" s="514">
        <v>0</v>
      </c>
      <c r="I488" s="514">
        <v>0</v>
      </c>
      <c r="J488" s="514">
        <v>0</v>
      </c>
      <c r="K488" s="514">
        <v>0</v>
      </c>
      <c r="L488" s="514">
        <v>0</v>
      </c>
      <c r="M488" s="514">
        <v>0</v>
      </c>
      <c r="N488" s="514">
        <v>0</v>
      </c>
      <c r="O488" s="499"/>
      <c r="P488" s="499"/>
      <c r="Q488" s="499"/>
    </row>
    <row r="489" spans="1:17" ht="14.4" x14ac:dyDescent="0.3">
      <c r="A489" s="502">
        <v>1310775</v>
      </c>
      <c r="B489" s="503" t="s">
        <v>2298</v>
      </c>
      <c r="C489" s="514">
        <v>0</v>
      </c>
      <c r="D489" s="514">
        <v>0</v>
      </c>
      <c r="E489" s="514">
        <v>0</v>
      </c>
      <c r="F489" s="514">
        <v>0</v>
      </c>
      <c r="G489" s="514">
        <v>0</v>
      </c>
      <c r="H489" s="514">
        <v>0</v>
      </c>
      <c r="I489" s="514">
        <v>0</v>
      </c>
      <c r="J489" s="514">
        <v>0</v>
      </c>
      <c r="K489" s="514">
        <v>0</v>
      </c>
      <c r="L489" s="514">
        <v>0</v>
      </c>
      <c r="M489" s="514">
        <v>0</v>
      </c>
      <c r="N489" s="514">
        <v>0</v>
      </c>
      <c r="O489" s="499"/>
      <c r="P489" s="499"/>
      <c r="Q489" s="499"/>
    </row>
    <row r="490" spans="1:17" ht="14.4" x14ac:dyDescent="0.3">
      <c r="A490" s="502">
        <v>1310776</v>
      </c>
      <c r="B490" s="503" t="s">
        <v>2299</v>
      </c>
      <c r="C490" s="514">
        <v>0</v>
      </c>
      <c r="D490" s="514">
        <v>0</v>
      </c>
      <c r="E490" s="514">
        <v>0</v>
      </c>
      <c r="F490" s="514">
        <v>0</v>
      </c>
      <c r="G490" s="514">
        <v>0</v>
      </c>
      <c r="H490" s="514">
        <v>0</v>
      </c>
      <c r="I490" s="514">
        <v>0</v>
      </c>
      <c r="J490" s="514">
        <v>0</v>
      </c>
      <c r="K490" s="514">
        <v>0</v>
      </c>
      <c r="L490" s="514">
        <v>0</v>
      </c>
      <c r="M490" s="514">
        <v>0</v>
      </c>
      <c r="N490" s="514">
        <v>0</v>
      </c>
      <c r="O490" s="499"/>
      <c r="P490" s="499"/>
      <c r="Q490" s="499"/>
    </row>
    <row r="491" spans="1:17" ht="14.4" x14ac:dyDescent="0.3">
      <c r="A491" s="502">
        <v>1310777</v>
      </c>
      <c r="B491" s="503" t="s">
        <v>2300</v>
      </c>
      <c r="C491" s="514">
        <v>0</v>
      </c>
      <c r="D491" s="514">
        <v>0</v>
      </c>
      <c r="E491" s="514">
        <v>0</v>
      </c>
      <c r="F491" s="514">
        <v>0</v>
      </c>
      <c r="G491" s="514">
        <v>0</v>
      </c>
      <c r="H491" s="514">
        <v>0</v>
      </c>
      <c r="I491" s="514">
        <v>0</v>
      </c>
      <c r="J491" s="514">
        <v>0</v>
      </c>
      <c r="K491" s="514">
        <v>0</v>
      </c>
      <c r="L491" s="514">
        <v>0</v>
      </c>
      <c r="M491" s="514">
        <v>0</v>
      </c>
      <c r="N491" s="514">
        <v>0</v>
      </c>
      <c r="O491" s="499"/>
      <c r="P491" s="499"/>
      <c r="Q491" s="499"/>
    </row>
    <row r="492" spans="1:17" ht="14.4" x14ac:dyDescent="0.3">
      <c r="A492" s="502">
        <v>1310778</v>
      </c>
      <c r="B492" s="503" t="s">
        <v>2301</v>
      </c>
      <c r="C492" s="514">
        <v>0</v>
      </c>
      <c r="D492" s="514">
        <v>0</v>
      </c>
      <c r="E492" s="514">
        <v>0</v>
      </c>
      <c r="F492" s="514">
        <v>0</v>
      </c>
      <c r="G492" s="514">
        <v>0</v>
      </c>
      <c r="H492" s="514">
        <v>0</v>
      </c>
      <c r="I492" s="514">
        <v>0</v>
      </c>
      <c r="J492" s="514">
        <v>0</v>
      </c>
      <c r="K492" s="514">
        <v>0</v>
      </c>
      <c r="L492" s="514">
        <v>0</v>
      </c>
      <c r="M492" s="514">
        <v>0</v>
      </c>
      <c r="N492" s="514">
        <v>0</v>
      </c>
      <c r="O492" s="499"/>
      <c r="P492" s="499"/>
      <c r="Q492" s="499"/>
    </row>
    <row r="493" spans="1:17" ht="14.4" x14ac:dyDescent="0.3">
      <c r="A493" s="502">
        <v>1310779</v>
      </c>
      <c r="B493" s="503" t="s">
        <v>2302</v>
      </c>
      <c r="C493" s="514">
        <v>0</v>
      </c>
      <c r="D493" s="514">
        <v>0</v>
      </c>
      <c r="E493" s="514">
        <v>0</v>
      </c>
      <c r="F493" s="514">
        <v>0</v>
      </c>
      <c r="G493" s="514">
        <v>0</v>
      </c>
      <c r="H493" s="514">
        <v>0</v>
      </c>
      <c r="I493" s="514">
        <v>0</v>
      </c>
      <c r="J493" s="514">
        <v>0</v>
      </c>
      <c r="K493" s="514">
        <v>0</v>
      </c>
      <c r="L493" s="514">
        <v>0</v>
      </c>
      <c r="M493" s="514">
        <v>0</v>
      </c>
      <c r="N493" s="514">
        <v>0</v>
      </c>
      <c r="O493" s="499"/>
      <c r="P493" s="499"/>
      <c r="Q493" s="499"/>
    </row>
    <row r="494" spans="1:17" ht="14.4" x14ac:dyDescent="0.3">
      <c r="A494" s="502">
        <v>1310782</v>
      </c>
      <c r="B494" s="503" t="s">
        <v>2303</v>
      </c>
      <c r="C494" s="514">
        <v>0</v>
      </c>
      <c r="D494" s="514">
        <v>0</v>
      </c>
      <c r="E494" s="514">
        <v>0</v>
      </c>
      <c r="F494" s="514">
        <v>0</v>
      </c>
      <c r="G494" s="514">
        <v>0</v>
      </c>
      <c r="H494" s="514">
        <v>0</v>
      </c>
      <c r="I494" s="514">
        <v>0</v>
      </c>
      <c r="J494" s="514">
        <v>0</v>
      </c>
      <c r="K494" s="514">
        <v>0</v>
      </c>
      <c r="L494" s="514">
        <v>0</v>
      </c>
      <c r="M494" s="514">
        <v>0</v>
      </c>
      <c r="N494" s="514">
        <v>0</v>
      </c>
      <c r="O494" s="499"/>
      <c r="P494" s="499"/>
      <c r="Q494" s="499"/>
    </row>
    <row r="495" spans="1:17" ht="14.4" x14ac:dyDescent="0.3">
      <c r="A495" s="502">
        <v>1310783</v>
      </c>
      <c r="B495" s="503" t="s">
        <v>2304</v>
      </c>
      <c r="C495" s="514">
        <v>0</v>
      </c>
      <c r="D495" s="514">
        <v>0</v>
      </c>
      <c r="E495" s="514">
        <v>0</v>
      </c>
      <c r="F495" s="514">
        <v>0</v>
      </c>
      <c r="G495" s="514">
        <v>0</v>
      </c>
      <c r="H495" s="514">
        <v>0</v>
      </c>
      <c r="I495" s="514">
        <v>0</v>
      </c>
      <c r="J495" s="514">
        <v>0</v>
      </c>
      <c r="K495" s="514">
        <v>0</v>
      </c>
      <c r="L495" s="514">
        <v>0</v>
      </c>
      <c r="M495" s="514">
        <v>0</v>
      </c>
      <c r="N495" s="514">
        <v>0</v>
      </c>
      <c r="O495" s="499"/>
      <c r="P495" s="499"/>
      <c r="Q495" s="499"/>
    </row>
    <row r="496" spans="1:17" ht="14.4" x14ac:dyDescent="0.3">
      <c r="A496" s="502">
        <v>1310810</v>
      </c>
      <c r="B496" s="503" t="s">
        <v>2305</v>
      </c>
      <c r="C496" s="514">
        <v>0</v>
      </c>
      <c r="D496" s="514">
        <v>0</v>
      </c>
      <c r="E496" s="514">
        <v>0</v>
      </c>
      <c r="F496" s="514">
        <v>0</v>
      </c>
      <c r="G496" s="514">
        <v>0</v>
      </c>
      <c r="H496" s="514">
        <v>0</v>
      </c>
      <c r="I496" s="514">
        <v>0</v>
      </c>
      <c r="J496" s="514">
        <v>0</v>
      </c>
      <c r="K496" s="514">
        <v>0</v>
      </c>
      <c r="L496" s="514">
        <v>0</v>
      </c>
      <c r="M496" s="514">
        <v>0</v>
      </c>
      <c r="N496" s="514">
        <v>0</v>
      </c>
      <c r="O496" s="499"/>
      <c r="P496" s="499"/>
      <c r="Q496" s="499"/>
    </row>
    <row r="497" spans="1:17" ht="14.4" x14ac:dyDescent="0.3">
      <c r="A497" s="502">
        <v>1310811</v>
      </c>
      <c r="B497" s="503" t="s">
        <v>2306</v>
      </c>
      <c r="C497" s="514">
        <v>0</v>
      </c>
      <c r="D497" s="514">
        <v>0</v>
      </c>
      <c r="E497" s="514">
        <v>0</v>
      </c>
      <c r="F497" s="514">
        <v>0</v>
      </c>
      <c r="G497" s="514">
        <v>0</v>
      </c>
      <c r="H497" s="514">
        <v>0</v>
      </c>
      <c r="I497" s="514">
        <v>0</v>
      </c>
      <c r="J497" s="514">
        <v>0</v>
      </c>
      <c r="K497" s="514">
        <v>0</v>
      </c>
      <c r="L497" s="514">
        <v>0</v>
      </c>
      <c r="M497" s="514">
        <v>0</v>
      </c>
      <c r="N497" s="514">
        <v>0</v>
      </c>
      <c r="O497" s="499"/>
      <c r="P497" s="499"/>
      <c r="Q497" s="499"/>
    </row>
    <row r="498" spans="1:17" ht="14.4" x14ac:dyDescent="0.3">
      <c r="A498" s="502">
        <v>1310812</v>
      </c>
      <c r="B498" s="503" t="s">
        <v>2307</v>
      </c>
      <c r="C498" s="514">
        <v>0</v>
      </c>
      <c r="D498" s="514">
        <v>0</v>
      </c>
      <c r="E498" s="514">
        <v>0</v>
      </c>
      <c r="F498" s="514">
        <v>0</v>
      </c>
      <c r="G498" s="514">
        <v>0</v>
      </c>
      <c r="H498" s="514">
        <v>0</v>
      </c>
      <c r="I498" s="514">
        <v>0</v>
      </c>
      <c r="J498" s="514">
        <v>0</v>
      </c>
      <c r="K498" s="514">
        <v>0</v>
      </c>
      <c r="L498" s="514">
        <v>0</v>
      </c>
      <c r="M498" s="514">
        <v>0</v>
      </c>
      <c r="N498" s="514">
        <v>0</v>
      </c>
      <c r="O498" s="499"/>
      <c r="P498" s="499"/>
      <c r="Q498" s="499"/>
    </row>
    <row r="499" spans="1:17" ht="14.4" x14ac:dyDescent="0.3">
      <c r="A499" s="502">
        <v>1310813</v>
      </c>
      <c r="B499" s="503" t="s">
        <v>2308</v>
      </c>
      <c r="C499" s="514">
        <v>0</v>
      </c>
      <c r="D499" s="514">
        <v>0</v>
      </c>
      <c r="E499" s="514">
        <v>0</v>
      </c>
      <c r="F499" s="514">
        <v>0</v>
      </c>
      <c r="G499" s="514">
        <v>0</v>
      </c>
      <c r="H499" s="514">
        <v>0</v>
      </c>
      <c r="I499" s="514">
        <v>0</v>
      </c>
      <c r="J499" s="514">
        <v>0</v>
      </c>
      <c r="K499" s="514">
        <v>0</v>
      </c>
      <c r="L499" s="514">
        <v>0</v>
      </c>
      <c r="M499" s="514">
        <v>0</v>
      </c>
      <c r="N499" s="514">
        <v>0</v>
      </c>
      <c r="O499" s="499"/>
      <c r="P499" s="499"/>
      <c r="Q499" s="499"/>
    </row>
    <row r="500" spans="1:17" ht="14.4" x14ac:dyDescent="0.3">
      <c r="A500" s="502">
        <v>1310814</v>
      </c>
      <c r="B500" s="503" t="s">
        <v>2309</v>
      </c>
      <c r="C500" s="514">
        <v>0</v>
      </c>
      <c r="D500" s="514">
        <v>0</v>
      </c>
      <c r="E500" s="514">
        <v>0</v>
      </c>
      <c r="F500" s="514">
        <v>0</v>
      </c>
      <c r="G500" s="514">
        <v>0</v>
      </c>
      <c r="H500" s="514">
        <v>0</v>
      </c>
      <c r="I500" s="514">
        <v>0</v>
      </c>
      <c r="J500" s="514">
        <v>0</v>
      </c>
      <c r="K500" s="514">
        <v>0</v>
      </c>
      <c r="L500" s="514">
        <v>0</v>
      </c>
      <c r="M500" s="514">
        <v>0</v>
      </c>
      <c r="N500" s="514">
        <v>0</v>
      </c>
      <c r="O500" s="499"/>
      <c r="P500" s="499"/>
      <c r="Q500" s="499"/>
    </row>
    <row r="501" spans="1:17" ht="14.4" x14ac:dyDescent="0.3">
      <c r="A501" s="502">
        <v>1310815</v>
      </c>
      <c r="B501" s="503" t="s">
        <v>2310</v>
      </c>
      <c r="C501" s="514">
        <v>0</v>
      </c>
      <c r="D501" s="514">
        <v>0</v>
      </c>
      <c r="E501" s="514">
        <v>0</v>
      </c>
      <c r="F501" s="514">
        <v>0</v>
      </c>
      <c r="G501" s="514">
        <v>0</v>
      </c>
      <c r="H501" s="514">
        <v>0</v>
      </c>
      <c r="I501" s="514">
        <v>0</v>
      </c>
      <c r="J501" s="514">
        <v>0</v>
      </c>
      <c r="K501" s="514">
        <v>0</v>
      </c>
      <c r="L501" s="514">
        <v>0</v>
      </c>
      <c r="M501" s="514">
        <v>0</v>
      </c>
      <c r="N501" s="514">
        <v>0</v>
      </c>
      <c r="O501" s="499"/>
      <c r="P501" s="499"/>
      <c r="Q501" s="499"/>
    </row>
    <row r="502" spans="1:17" ht="14.4" x14ac:dyDescent="0.3">
      <c r="A502" s="502">
        <v>1310816</v>
      </c>
      <c r="B502" s="503" t="s">
        <v>2311</v>
      </c>
      <c r="C502" s="514">
        <v>0</v>
      </c>
      <c r="D502" s="514">
        <v>0</v>
      </c>
      <c r="E502" s="514">
        <v>0</v>
      </c>
      <c r="F502" s="514">
        <v>0</v>
      </c>
      <c r="G502" s="514">
        <v>0</v>
      </c>
      <c r="H502" s="514">
        <v>0</v>
      </c>
      <c r="I502" s="514">
        <v>0</v>
      </c>
      <c r="J502" s="514">
        <v>0</v>
      </c>
      <c r="K502" s="514">
        <v>0</v>
      </c>
      <c r="L502" s="514">
        <v>0</v>
      </c>
      <c r="M502" s="514">
        <v>0</v>
      </c>
      <c r="N502" s="514">
        <v>0</v>
      </c>
      <c r="O502" s="499"/>
      <c r="P502" s="499"/>
      <c r="Q502" s="499"/>
    </row>
    <row r="503" spans="1:17" ht="14.4" x14ac:dyDescent="0.3">
      <c r="A503" s="502">
        <v>1310817</v>
      </c>
      <c r="B503" s="503" t="s">
        <v>2312</v>
      </c>
      <c r="C503" s="514">
        <v>0</v>
      </c>
      <c r="D503" s="514">
        <v>0</v>
      </c>
      <c r="E503" s="514">
        <v>0</v>
      </c>
      <c r="F503" s="514">
        <v>0</v>
      </c>
      <c r="G503" s="514">
        <v>0</v>
      </c>
      <c r="H503" s="514">
        <v>0</v>
      </c>
      <c r="I503" s="514">
        <v>0</v>
      </c>
      <c r="J503" s="514">
        <v>0</v>
      </c>
      <c r="K503" s="514">
        <v>0</v>
      </c>
      <c r="L503" s="514">
        <v>0</v>
      </c>
      <c r="M503" s="514">
        <v>0</v>
      </c>
      <c r="N503" s="514">
        <v>0</v>
      </c>
      <c r="O503" s="499"/>
      <c r="P503" s="499"/>
      <c r="Q503" s="499"/>
    </row>
    <row r="504" spans="1:17" ht="14.4" x14ac:dyDescent="0.3">
      <c r="A504" s="502">
        <v>1310990</v>
      </c>
      <c r="B504" s="503" t="s">
        <v>2313</v>
      </c>
      <c r="C504" s="514">
        <v>1000000</v>
      </c>
      <c r="D504" s="514">
        <v>1000000</v>
      </c>
      <c r="E504" s="514">
        <v>1000000</v>
      </c>
      <c r="F504" s="514">
        <v>1000000</v>
      </c>
      <c r="G504" s="514">
        <v>1000000</v>
      </c>
      <c r="H504" s="514">
        <v>1000000</v>
      </c>
      <c r="I504" s="514">
        <v>1000000</v>
      </c>
      <c r="J504" s="514">
        <v>1000000</v>
      </c>
      <c r="K504" s="514">
        <v>1000000</v>
      </c>
      <c r="L504" s="514">
        <v>1000000</v>
      </c>
      <c r="M504" s="514">
        <v>1000000</v>
      </c>
      <c r="N504" s="514">
        <v>1000000</v>
      </c>
      <c r="O504" s="499"/>
      <c r="P504" s="499"/>
      <c r="Q504" s="499"/>
    </row>
    <row r="505" spans="1:17" ht="14.4" x14ac:dyDescent="0.3">
      <c r="A505" s="502">
        <v>1311000</v>
      </c>
      <c r="B505" s="503" t="s">
        <v>2314</v>
      </c>
      <c r="C505" s="514">
        <v>0</v>
      </c>
      <c r="D505" s="514">
        <v>0</v>
      </c>
      <c r="E505" s="514">
        <v>0</v>
      </c>
      <c r="F505" s="514">
        <v>0</v>
      </c>
      <c r="G505" s="514">
        <v>0</v>
      </c>
      <c r="H505" s="514">
        <v>0</v>
      </c>
      <c r="I505" s="514">
        <v>0</v>
      </c>
      <c r="J505" s="514">
        <v>0</v>
      </c>
      <c r="K505" s="514">
        <v>0</v>
      </c>
      <c r="L505" s="514">
        <v>0</v>
      </c>
      <c r="M505" s="514">
        <v>0</v>
      </c>
      <c r="N505" s="514">
        <v>0</v>
      </c>
      <c r="O505" s="499"/>
      <c r="P505" s="499"/>
      <c r="Q505" s="499"/>
    </row>
    <row r="506" spans="1:17" ht="14.4" x14ac:dyDescent="0.3">
      <c r="A506" s="502">
        <v>1311001</v>
      </c>
      <c r="B506" s="503" t="s">
        <v>2315</v>
      </c>
      <c r="C506" s="514">
        <v>0</v>
      </c>
      <c r="D506" s="514">
        <v>0</v>
      </c>
      <c r="E506" s="514">
        <v>0</v>
      </c>
      <c r="F506" s="514">
        <v>0</v>
      </c>
      <c r="G506" s="514">
        <v>0</v>
      </c>
      <c r="H506" s="514">
        <v>0</v>
      </c>
      <c r="I506" s="514">
        <v>0</v>
      </c>
      <c r="J506" s="514">
        <v>0</v>
      </c>
      <c r="K506" s="514">
        <v>0</v>
      </c>
      <c r="L506" s="514">
        <v>0</v>
      </c>
      <c r="M506" s="514">
        <v>0</v>
      </c>
      <c r="N506" s="514">
        <v>0</v>
      </c>
      <c r="O506" s="499"/>
      <c r="P506" s="499"/>
      <c r="Q506" s="499"/>
    </row>
    <row r="507" spans="1:17" ht="14.4" x14ac:dyDescent="0.3">
      <c r="A507" s="502">
        <v>1311002</v>
      </c>
      <c r="B507" s="503" t="s">
        <v>2316</v>
      </c>
      <c r="C507" s="514">
        <v>0</v>
      </c>
      <c r="D507" s="514">
        <v>0</v>
      </c>
      <c r="E507" s="514">
        <v>0</v>
      </c>
      <c r="F507" s="514">
        <v>0</v>
      </c>
      <c r="G507" s="514">
        <v>0</v>
      </c>
      <c r="H507" s="514">
        <v>0</v>
      </c>
      <c r="I507" s="514">
        <v>0</v>
      </c>
      <c r="J507" s="514">
        <v>0</v>
      </c>
      <c r="K507" s="514">
        <v>0</v>
      </c>
      <c r="L507" s="514">
        <v>0</v>
      </c>
      <c r="M507" s="514">
        <v>0</v>
      </c>
      <c r="N507" s="514">
        <v>0</v>
      </c>
      <c r="O507" s="499"/>
      <c r="P507" s="499"/>
      <c r="Q507" s="499"/>
    </row>
    <row r="508" spans="1:17" ht="14.4" x14ac:dyDescent="0.3">
      <c r="A508" s="502">
        <v>1311003</v>
      </c>
      <c r="B508" s="503" t="s">
        <v>2317</v>
      </c>
      <c r="C508" s="514">
        <v>0</v>
      </c>
      <c r="D508" s="514">
        <v>0</v>
      </c>
      <c r="E508" s="514">
        <v>0</v>
      </c>
      <c r="F508" s="514">
        <v>0</v>
      </c>
      <c r="G508" s="514">
        <v>0</v>
      </c>
      <c r="H508" s="514">
        <v>0</v>
      </c>
      <c r="I508" s="514">
        <v>0</v>
      </c>
      <c r="J508" s="514">
        <v>0</v>
      </c>
      <c r="K508" s="514">
        <v>0</v>
      </c>
      <c r="L508" s="514">
        <v>0</v>
      </c>
      <c r="M508" s="514">
        <v>0</v>
      </c>
      <c r="N508" s="514">
        <v>0</v>
      </c>
      <c r="O508" s="499"/>
      <c r="P508" s="499"/>
      <c r="Q508" s="499"/>
    </row>
    <row r="509" spans="1:17" ht="14.4" x14ac:dyDescent="0.3">
      <c r="A509" s="502">
        <v>1311004</v>
      </c>
      <c r="B509" s="503" t="s">
        <v>2318</v>
      </c>
      <c r="C509" s="514">
        <v>0</v>
      </c>
      <c r="D509" s="514">
        <v>0</v>
      </c>
      <c r="E509" s="514">
        <v>0</v>
      </c>
      <c r="F509" s="514">
        <v>0</v>
      </c>
      <c r="G509" s="514">
        <v>0</v>
      </c>
      <c r="H509" s="514">
        <v>0</v>
      </c>
      <c r="I509" s="514">
        <v>0</v>
      </c>
      <c r="J509" s="514">
        <v>0</v>
      </c>
      <c r="K509" s="514">
        <v>0</v>
      </c>
      <c r="L509" s="514">
        <v>0</v>
      </c>
      <c r="M509" s="514">
        <v>0</v>
      </c>
      <c r="N509" s="514">
        <v>0</v>
      </c>
      <c r="O509" s="499"/>
      <c r="P509" s="499"/>
      <c r="Q509" s="499"/>
    </row>
    <row r="510" spans="1:17" ht="14.4" x14ac:dyDescent="0.3">
      <c r="A510" s="502">
        <v>1311005</v>
      </c>
      <c r="B510" s="503" t="s">
        <v>2319</v>
      </c>
      <c r="C510" s="514">
        <v>0</v>
      </c>
      <c r="D510" s="514">
        <v>0</v>
      </c>
      <c r="E510" s="514">
        <v>0</v>
      </c>
      <c r="F510" s="514">
        <v>0</v>
      </c>
      <c r="G510" s="514">
        <v>0</v>
      </c>
      <c r="H510" s="514">
        <v>0</v>
      </c>
      <c r="I510" s="514">
        <v>0</v>
      </c>
      <c r="J510" s="514">
        <v>0</v>
      </c>
      <c r="K510" s="514">
        <v>0</v>
      </c>
      <c r="L510" s="514">
        <v>0</v>
      </c>
      <c r="M510" s="514">
        <v>0</v>
      </c>
      <c r="N510" s="514">
        <v>0</v>
      </c>
      <c r="O510" s="499"/>
      <c r="P510" s="499"/>
      <c r="Q510" s="499"/>
    </row>
    <row r="511" spans="1:17" ht="14.4" x14ac:dyDescent="0.3">
      <c r="A511" s="502">
        <v>1311006</v>
      </c>
      <c r="B511" s="503" t="s">
        <v>2320</v>
      </c>
      <c r="C511" s="514">
        <v>0</v>
      </c>
      <c r="D511" s="514">
        <v>0</v>
      </c>
      <c r="E511" s="514">
        <v>0</v>
      </c>
      <c r="F511" s="514">
        <v>0</v>
      </c>
      <c r="G511" s="514">
        <v>0</v>
      </c>
      <c r="H511" s="514">
        <v>0</v>
      </c>
      <c r="I511" s="514">
        <v>0</v>
      </c>
      <c r="J511" s="514">
        <v>0</v>
      </c>
      <c r="K511" s="514">
        <v>0</v>
      </c>
      <c r="L511" s="514">
        <v>0</v>
      </c>
      <c r="M511" s="514">
        <v>0</v>
      </c>
      <c r="N511" s="514">
        <v>0</v>
      </c>
      <c r="O511" s="499"/>
      <c r="P511" s="499"/>
      <c r="Q511" s="499"/>
    </row>
    <row r="512" spans="1:17" ht="14.4" x14ac:dyDescent="0.3">
      <c r="A512" s="502">
        <v>1311007</v>
      </c>
      <c r="B512" s="503" t="s">
        <v>2321</v>
      </c>
      <c r="C512" s="514">
        <v>0</v>
      </c>
      <c r="D512" s="514">
        <v>0</v>
      </c>
      <c r="E512" s="514">
        <v>0</v>
      </c>
      <c r="F512" s="514">
        <v>0</v>
      </c>
      <c r="G512" s="514">
        <v>0</v>
      </c>
      <c r="H512" s="514">
        <v>0</v>
      </c>
      <c r="I512" s="514">
        <v>0</v>
      </c>
      <c r="J512" s="514">
        <v>0</v>
      </c>
      <c r="K512" s="514">
        <v>0</v>
      </c>
      <c r="L512" s="514">
        <v>0</v>
      </c>
      <c r="M512" s="514">
        <v>0</v>
      </c>
      <c r="N512" s="514">
        <v>0</v>
      </c>
      <c r="O512" s="499"/>
      <c r="P512" s="499"/>
      <c r="Q512" s="499"/>
    </row>
    <row r="513" spans="1:17" ht="14.4" x14ac:dyDescent="0.3">
      <c r="A513" s="502">
        <v>1311008</v>
      </c>
      <c r="B513" s="503" t="s">
        <v>2322</v>
      </c>
      <c r="C513" s="514">
        <v>0</v>
      </c>
      <c r="D513" s="514">
        <v>0</v>
      </c>
      <c r="E513" s="514">
        <v>0</v>
      </c>
      <c r="F513" s="514">
        <v>0</v>
      </c>
      <c r="G513" s="514">
        <v>0</v>
      </c>
      <c r="H513" s="514">
        <v>0</v>
      </c>
      <c r="I513" s="514">
        <v>0</v>
      </c>
      <c r="J513" s="514">
        <v>0</v>
      </c>
      <c r="K513" s="514">
        <v>0</v>
      </c>
      <c r="L513" s="514">
        <v>0</v>
      </c>
      <c r="M513" s="514">
        <v>0</v>
      </c>
      <c r="N513" s="514">
        <v>0</v>
      </c>
      <c r="O513" s="499"/>
      <c r="P513" s="499"/>
      <c r="Q513" s="499"/>
    </row>
    <row r="514" spans="1:17" ht="14.4" x14ac:dyDescent="0.3">
      <c r="A514" s="502">
        <v>1311010</v>
      </c>
      <c r="B514" s="503" t="s">
        <v>2323</v>
      </c>
      <c r="C514" s="514">
        <v>0</v>
      </c>
      <c r="D514" s="514">
        <v>0</v>
      </c>
      <c r="E514" s="514">
        <v>0</v>
      </c>
      <c r="F514" s="514">
        <v>0</v>
      </c>
      <c r="G514" s="514">
        <v>0</v>
      </c>
      <c r="H514" s="514">
        <v>0</v>
      </c>
      <c r="I514" s="514">
        <v>0</v>
      </c>
      <c r="J514" s="514">
        <v>0</v>
      </c>
      <c r="K514" s="514">
        <v>0</v>
      </c>
      <c r="L514" s="514">
        <v>0</v>
      </c>
      <c r="M514" s="514">
        <v>0</v>
      </c>
      <c r="N514" s="514">
        <v>0</v>
      </c>
      <c r="O514" s="499"/>
      <c r="P514" s="499"/>
      <c r="Q514" s="499"/>
    </row>
    <row r="515" spans="1:17" ht="14.4" x14ac:dyDescent="0.3">
      <c r="A515" s="502">
        <v>1311011</v>
      </c>
      <c r="B515" s="503" t="s">
        <v>2324</v>
      </c>
      <c r="C515" s="514">
        <v>0</v>
      </c>
      <c r="D515" s="514">
        <v>0</v>
      </c>
      <c r="E515" s="514">
        <v>0</v>
      </c>
      <c r="F515" s="514">
        <v>0</v>
      </c>
      <c r="G515" s="514">
        <v>0</v>
      </c>
      <c r="H515" s="514">
        <v>0</v>
      </c>
      <c r="I515" s="514">
        <v>0</v>
      </c>
      <c r="J515" s="514">
        <v>0</v>
      </c>
      <c r="K515" s="514">
        <v>0</v>
      </c>
      <c r="L515" s="514">
        <v>0</v>
      </c>
      <c r="M515" s="514">
        <v>0</v>
      </c>
      <c r="N515" s="514">
        <v>0</v>
      </c>
      <c r="O515" s="499"/>
      <c r="P515" s="499"/>
      <c r="Q515" s="499"/>
    </row>
    <row r="516" spans="1:17" ht="14.4" x14ac:dyDescent="0.3">
      <c r="A516" s="502">
        <v>1311012</v>
      </c>
      <c r="B516" s="503" t="s">
        <v>2325</v>
      </c>
      <c r="C516" s="514">
        <v>0</v>
      </c>
      <c r="D516" s="514">
        <v>0</v>
      </c>
      <c r="E516" s="514">
        <v>0</v>
      </c>
      <c r="F516" s="514">
        <v>0</v>
      </c>
      <c r="G516" s="514">
        <v>0</v>
      </c>
      <c r="H516" s="514">
        <v>0</v>
      </c>
      <c r="I516" s="514">
        <v>0</v>
      </c>
      <c r="J516" s="514">
        <v>0</v>
      </c>
      <c r="K516" s="514">
        <v>0</v>
      </c>
      <c r="L516" s="514">
        <v>0</v>
      </c>
      <c r="M516" s="514">
        <v>0</v>
      </c>
      <c r="N516" s="514">
        <v>0</v>
      </c>
      <c r="O516" s="499"/>
      <c r="P516" s="499"/>
      <c r="Q516" s="499"/>
    </row>
    <row r="517" spans="1:17" ht="14.4" x14ac:dyDescent="0.3">
      <c r="A517" s="502">
        <v>1311013</v>
      </c>
      <c r="B517" s="503" t="s">
        <v>2326</v>
      </c>
      <c r="C517" s="514">
        <v>0</v>
      </c>
      <c r="D517" s="514">
        <v>0</v>
      </c>
      <c r="E517" s="514">
        <v>0</v>
      </c>
      <c r="F517" s="514">
        <v>0</v>
      </c>
      <c r="G517" s="514">
        <v>0</v>
      </c>
      <c r="H517" s="514">
        <v>0</v>
      </c>
      <c r="I517" s="514">
        <v>0</v>
      </c>
      <c r="J517" s="514">
        <v>0</v>
      </c>
      <c r="K517" s="514">
        <v>0</v>
      </c>
      <c r="L517" s="514">
        <v>0</v>
      </c>
      <c r="M517" s="514">
        <v>0</v>
      </c>
      <c r="N517" s="514">
        <v>0</v>
      </c>
      <c r="O517" s="499"/>
      <c r="P517" s="499"/>
      <c r="Q517" s="499"/>
    </row>
    <row r="518" spans="1:17" ht="14.4" x14ac:dyDescent="0.3">
      <c r="A518" s="502">
        <v>1311014</v>
      </c>
      <c r="B518" s="503" t="s">
        <v>2327</v>
      </c>
      <c r="C518" s="514">
        <v>0</v>
      </c>
      <c r="D518" s="514">
        <v>0</v>
      </c>
      <c r="E518" s="514">
        <v>0</v>
      </c>
      <c r="F518" s="514">
        <v>0</v>
      </c>
      <c r="G518" s="514">
        <v>0</v>
      </c>
      <c r="H518" s="514">
        <v>0</v>
      </c>
      <c r="I518" s="514">
        <v>0</v>
      </c>
      <c r="J518" s="514">
        <v>0</v>
      </c>
      <c r="K518" s="514">
        <v>0</v>
      </c>
      <c r="L518" s="514">
        <v>0</v>
      </c>
      <c r="M518" s="514">
        <v>0</v>
      </c>
      <c r="N518" s="514">
        <v>0</v>
      </c>
      <c r="O518" s="499"/>
      <c r="P518" s="499"/>
      <c r="Q518" s="499"/>
    </row>
    <row r="519" spans="1:17" ht="14.4" x14ac:dyDescent="0.3">
      <c r="A519" s="502">
        <v>1311015</v>
      </c>
      <c r="B519" s="503" t="s">
        <v>2328</v>
      </c>
      <c r="C519" s="514">
        <v>0</v>
      </c>
      <c r="D519" s="514">
        <v>0</v>
      </c>
      <c r="E519" s="514">
        <v>0</v>
      </c>
      <c r="F519" s="514">
        <v>0</v>
      </c>
      <c r="G519" s="514">
        <v>0</v>
      </c>
      <c r="H519" s="514">
        <v>0</v>
      </c>
      <c r="I519" s="514">
        <v>0</v>
      </c>
      <c r="J519" s="514">
        <v>0</v>
      </c>
      <c r="K519" s="514">
        <v>0</v>
      </c>
      <c r="L519" s="514">
        <v>0</v>
      </c>
      <c r="M519" s="514">
        <v>0</v>
      </c>
      <c r="N519" s="514">
        <v>0</v>
      </c>
      <c r="O519" s="499"/>
      <c r="P519" s="499"/>
      <c r="Q519" s="499"/>
    </row>
    <row r="520" spans="1:17" ht="14.4" x14ac:dyDescent="0.3">
      <c r="A520" s="502">
        <v>1311016</v>
      </c>
      <c r="B520" s="503" t="s">
        <v>2329</v>
      </c>
      <c r="C520" s="514">
        <v>0</v>
      </c>
      <c r="D520" s="514">
        <v>0</v>
      </c>
      <c r="E520" s="514">
        <v>0</v>
      </c>
      <c r="F520" s="514">
        <v>0</v>
      </c>
      <c r="G520" s="514">
        <v>0</v>
      </c>
      <c r="H520" s="514">
        <v>0</v>
      </c>
      <c r="I520" s="514">
        <v>0</v>
      </c>
      <c r="J520" s="514">
        <v>0</v>
      </c>
      <c r="K520" s="514">
        <v>0</v>
      </c>
      <c r="L520" s="514">
        <v>0</v>
      </c>
      <c r="M520" s="514">
        <v>0</v>
      </c>
      <c r="N520" s="514">
        <v>0</v>
      </c>
      <c r="O520" s="499"/>
      <c r="P520" s="499"/>
      <c r="Q520" s="499"/>
    </row>
    <row r="521" spans="1:17" ht="14.4" x14ac:dyDescent="0.3">
      <c r="A521" s="502">
        <v>1311017</v>
      </c>
      <c r="B521" s="503" t="s">
        <v>2330</v>
      </c>
      <c r="C521" s="514">
        <v>0</v>
      </c>
      <c r="D521" s="514">
        <v>0</v>
      </c>
      <c r="E521" s="514">
        <v>0</v>
      </c>
      <c r="F521" s="514">
        <v>0</v>
      </c>
      <c r="G521" s="514">
        <v>0</v>
      </c>
      <c r="H521" s="514">
        <v>0</v>
      </c>
      <c r="I521" s="514">
        <v>0</v>
      </c>
      <c r="J521" s="514">
        <v>0</v>
      </c>
      <c r="K521" s="514">
        <v>0</v>
      </c>
      <c r="L521" s="514">
        <v>0</v>
      </c>
      <c r="M521" s="514">
        <v>0</v>
      </c>
      <c r="N521" s="514">
        <v>0</v>
      </c>
      <c r="O521" s="499"/>
      <c r="P521" s="499"/>
      <c r="Q521" s="499"/>
    </row>
    <row r="522" spans="1:17" ht="14.4" x14ac:dyDescent="0.3">
      <c r="A522" s="502">
        <v>1311018</v>
      </c>
      <c r="B522" s="503" t="s">
        <v>2331</v>
      </c>
      <c r="C522" s="514">
        <v>0</v>
      </c>
      <c r="D522" s="514">
        <v>0</v>
      </c>
      <c r="E522" s="514">
        <v>0</v>
      </c>
      <c r="F522" s="514">
        <v>0</v>
      </c>
      <c r="G522" s="514">
        <v>0</v>
      </c>
      <c r="H522" s="514">
        <v>0</v>
      </c>
      <c r="I522" s="514">
        <v>0</v>
      </c>
      <c r="J522" s="514">
        <v>0</v>
      </c>
      <c r="K522" s="514">
        <v>0</v>
      </c>
      <c r="L522" s="514">
        <v>0</v>
      </c>
      <c r="M522" s="514">
        <v>0</v>
      </c>
      <c r="N522" s="514">
        <v>0</v>
      </c>
      <c r="O522" s="499"/>
      <c r="P522" s="499"/>
      <c r="Q522" s="499"/>
    </row>
    <row r="523" spans="1:17" ht="14.4" x14ac:dyDescent="0.3">
      <c r="A523" s="502">
        <v>1311020</v>
      </c>
      <c r="B523" s="503" t="s">
        <v>2332</v>
      </c>
      <c r="C523" s="514">
        <v>0</v>
      </c>
      <c r="D523" s="514">
        <v>0</v>
      </c>
      <c r="E523" s="514">
        <v>0</v>
      </c>
      <c r="F523" s="514">
        <v>0</v>
      </c>
      <c r="G523" s="514">
        <v>0</v>
      </c>
      <c r="H523" s="514">
        <v>0</v>
      </c>
      <c r="I523" s="514">
        <v>0</v>
      </c>
      <c r="J523" s="514">
        <v>0</v>
      </c>
      <c r="K523" s="514">
        <v>0</v>
      </c>
      <c r="L523" s="514">
        <v>0</v>
      </c>
      <c r="M523" s="514">
        <v>0</v>
      </c>
      <c r="N523" s="514">
        <v>0</v>
      </c>
      <c r="O523" s="499"/>
      <c r="P523" s="499"/>
      <c r="Q523" s="499"/>
    </row>
    <row r="524" spans="1:17" ht="14.4" x14ac:dyDescent="0.3">
      <c r="A524" s="502">
        <v>1311021</v>
      </c>
      <c r="B524" s="503" t="s">
        <v>2333</v>
      </c>
      <c r="C524" s="514">
        <v>0</v>
      </c>
      <c r="D524" s="514">
        <v>0</v>
      </c>
      <c r="E524" s="514">
        <v>0</v>
      </c>
      <c r="F524" s="514">
        <v>0</v>
      </c>
      <c r="G524" s="514">
        <v>0</v>
      </c>
      <c r="H524" s="514">
        <v>0</v>
      </c>
      <c r="I524" s="514">
        <v>0</v>
      </c>
      <c r="J524" s="514">
        <v>0</v>
      </c>
      <c r="K524" s="514">
        <v>0</v>
      </c>
      <c r="L524" s="514">
        <v>0</v>
      </c>
      <c r="M524" s="514">
        <v>0</v>
      </c>
      <c r="N524" s="514">
        <v>0</v>
      </c>
      <c r="O524" s="499"/>
      <c r="P524" s="499"/>
      <c r="Q524" s="499"/>
    </row>
    <row r="525" spans="1:17" ht="14.4" x14ac:dyDescent="0.3">
      <c r="A525" s="502">
        <v>1311022</v>
      </c>
      <c r="B525" s="503" t="s">
        <v>2334</v>
      </c>
      <c r="C525" s="514">
        <v>0</v>
      </c>
      <c r="D525" s="514">
        <v>0</v>
      </c>
      <c r="E525" s="514">
        <v>0</v>
      </c>
      <c r="F525" s="514">
        <v>0</v>
      </c>
      <c r="G525" s="514">
        <v>0</v>
      </c>
      <c r="H525" s="514">
        <v>0</v>
      </c>
      <c r="I525" s="514">
        <v>0</v>
      </c>
      <c r="J525" s="514">
        <v>0</v>
      </c>
      <c r="K525" s="514">
        <v>0</v>
      </c>
      <c r="L525" s="514">
        <v>0</v>
      </c>
      <c r="M525" s="514">
        <v>0</v>
      </c>
      <c r="N525" s="514">
        <v>0</v>
      </c>
      <c r="O525" s="499"/>
      <c r="P525" s="499"/>
      <c r="Q525" s="499"/>
    </row>
    <row r="526" spans="1:17" ht="14.4" x14ac:dyDescent="0.3">
      <c r="A526" s="502">
        <v>1311023</v>
      </c>
      <c r="B526" s="503" t="s">
        <v>2335</v>
      </c>
      <c r="C526" s="514">
        <v>0</v>
      </c>
      <c r="D526" s="514">
        <v>0</v>
      </c>
      <c r="E526" s="514">
        <v>0</v>
      </c>
      <c r="F526" s="514">
        <v>0</v>
      </c>
      <c r="G526" s="514">
        <v>0</v>
      </c>
      <c r="H526" s="514">
        <v>0</v>
      </c>
      <c r="I526" s="514">
        <v>0</v>
      </c>
      <c r="J526" s="514">
        <v>0</v>
      </c>
      <c r="K526" s="514">
        <v>0</v>
      </c>
      <c r="L526" s="514">
        <v>0</v>
      </c>
      <c r="M526" s="514">
        <v>0</v>
      </c>
      <c r="N526" s="514">
        <v>0</v>
      </c>
      <c r="O526" s="499"/>
      <c r="P526" s="499"/>
      <c r="Q526" s="499"/>
    </row>
    <row r="527" spans="1:17" ht="14.4" x14ac:dyDescent="0.3">
      <c r="A527" s="502">
        <v>1311024</v>
      </c>
      <c r="B527" s="503" t="s">
        <v>2336</v>
      </c>
      <c r="C527" s="514">
        <v>0</v>
      </c>
      <c r="D527" s="514">
        <v>0</v>
      </c>
      <c r="E527" s="514">
        <v>0</v>
      </c>
      <c r="F527" s="514">
        <v>0</v>
      </c>
      <c r="G527" s="514">
        <v>0</v>
      </c>
      <c r="H527" s="514">
        <v>0</v>
      </c>
      <c r="I527" s="514">
        <v>0</v>
      </c>
      <c r="J527" s="514">
        <v>0</v>
      </c>
      <c r="K527" s="514">
        <v>0</v>
      </c>
      <c r="L527" s="514">
        <v>0</v>
      </c>
      <c r="M527" s="514">
        <v>0</v>
      </c>
      <c r="N527" s="514">
        <v>0</v>
      </c>
      <c r="O527" s="499"/>
      <c r="P527" s="499"/>
      <c r="Q527" s="499"/>
    </row>
    <row r="528" spans="1:17" ht="14.4" x14ac:dyDescent="0.3">
      <c r="A528" s="502">
        <v>1311025</v>
      </c>
      <c r="B528" s="503" t="s">
        <v>2337</v>
      </c>
      <c r="C528" s="514">
        <v>0</v>
      </c>
      <c r="D528" s="514">
        <v>0</v>
      </c>
      <c r="E528" s="514">
        <v>0</v>
      </c>
      <c r="F528" s="514">
        <v>0</v>
      </c>
      <c r="G528" s="514">
        <v>0</v>
      </c>
      <c r="H528" s="514">
        <v>0</v>
      </c>
      <c r="I528" s="514">
        <v>0</v>
      </c>
      <c r="J528" s="514">
        <v>0</v>
      </c>
      <c r="K528" s="514">
        <v>0</v>
      </c>
      <c r="L528" s="514">
        <v>0</v>
      </c>
      <c r="M528" s="514">
        <v>0</v>
      </c>
      <c r="N528" s="514">
        <v>0</v>
      </c>
      <c r="O528" s="499"/>
      <c r="P528" s="499"/>
      <c r="Q528" s="499"/>
    </row>
    <row r="529" spans="1:17" ht="14.4" x14ac:dyDescent="0.3">
      <c r="A529" s="502">
        <v>1311026</v>
      </c>
      <c r="B529" s="503" t="s">
        <v>2338</v>
      </c>
      <c r="C529" s="514">
        <v>0</v>
      </c>
      <c r="D529" s="514">
        <v>0</v>
      </c>
      <c r="E529" s="514">
        <v>0</v>
      </c>
      <c r="F529" s="514">
        <v>0</v>
      </c>
      <c r="G529" s="514">
        <v>0</v>
      </c>
      <c r="H529" s="514">
        <v>0</v>
      </c>
      <c r="I529" s="514">
        <v>0</v>
      </c>
      <c r="J529" s="514">
        <v>0</v>
      </c>
      <c r="K529" s="514">
        <v>0</v>
      </c>
      <c r="L529" s="514">
        <v>0</v>
      </c>
      <c r="M529" s="514">
        <v>0</v>
      </c>
      <c r="N529" s="514">
        <v>0</v>
      </c>
      <c r="O529" s="499"/>
      <c r="P529" s="499"/>
      <c r="Q529" s="499"/>
    </row>
    <row r="530" spans="1:17" ht="14.4" x14ac:dyDescent="0.3">
      <c r="A530" s="502">
        <v>1311027</v>
      </c>
      <c r="B530" s="503" t="s">
        <v>2339</v>
      </c>
      <c r="C530" s="514">
        <v>0</v>
      </c>
      <c r="D530" s="514">
        <v>0</v>
      </c>
      <c r="E530" s="514">
        <v>0</v>
      </c>
      <c r="F530" s="514">
        <v>0</v>
      </c>
      <c r="G530" s="514">
        <v>0</v>
      </c>
      <c r="H530" s="514">
        <v>0</v>
      </c>
      <c r="I530" s="514">
        <v>0</v>
      </c>
      <c r="J530" s="514">
        <v>0</v>
      </c>
      <c r="K530" s="514">
        <v>0</v>
      </c>
      <c r="L530" s="514">
        <v>0</v>
      </c>
      <c r="M530" s="514">
        <v>0</v>
      </c>
      <c r="N530" s="514">
        <v>0</v>
      </c>
      <c r="O530" s="499"/>
      <c r="P530" s="499"/>
      <c r="Q530" s="499"/>
    </row>
    <row r="531" spans="1:17" ht="14.4" x14ac:dyDescent="0.3">
      <c r="A531" s="502">
        <v>1311028</v>
      </c>
      <c r="B531" s="503" t="s">
        <v>2340</v>
      </c>
      <c r="C531" s="514">
        <v>0</v>
      </c>
      <c r="D531" s="514">
        <v>0</v>
      </c>
      <c r="E531" s="514">
        <v>0</v>
      </c>
      <c r="F531" s="514">
        <v>0</v>
      </c>
      <c r="G531" s="514">
        <v>0</v>
      </c>
      <c r="H531" s="514">
        <v>0</v>
      </c>
      <c r="I531" s="514">
        <v>0</v>
      </c>
      <c r="J531" s="514">
        <v>0</v>
      </c>
      <c r="K531" s="514">
        <v>0</v>
      </c>
      <c r="L531" s="514">
        <v>0</v>
      </c>
      <c r="M531" s="514">
        <v>0</v>
      </c>
      <c r="N531" s="514">
        <v>0</v>
      </c>
      <c r="O531" s="499"/>
      <c r="P531" s="499"/>
      <c r="Q531" s="499"/>
    </row>
    <row r="532" spans="1:17" ht="14.4" x14ac:dyDescent="0.3">
      <c r="A532" s="502">
        <v>1311030</v>
      </c>
      <c r="B532" s="503" t="s">
        <v>2341</v>
      </c>
      <c r="C532" s="514">
        <v>0</v>
      </c>
      <c r="D532" s="514">
        <v>0</v>
      </c>
      <c r="E532" s="514">
        <v>0</v>
      </c>
      <c r="F532" s="514">
        <v>0</v>
      </c>
      <c r="G532" s="514">
        <v>0</v>
      </c>
      <c r="H532" s="514">
        <v>0</v>
      </c>
      <c r="I532" s="514">
        <v>0</v>
      </c>
      <c r="J532" s="514">
        <v>0</v>
      </c>
      <c r="K532" s="514">
        <v>0</v>
      </c>
      <c r="L532" s="514">
        <v>0</v>
      </c>
      <c r="M532" s="514">
        <v>0</v>
      </c>
      <c r="N532" s="514">
        <v>0</v>
      </c>
      <c r="O532" s="499"/>
      <c r="P532" s="499"/>
      <c r="Q532" s="499"/>
    </row>
    <row r="533" spans="1:17" ht="14.4" x14ac:dyDescent="0.3">
      <c r="A533" s="502">
        <v>1311031</v>
      </c>
      <c r="B533" s="503" t="s">
        <v>2342</v>
      </c>
      <c r="C533" s="514">
        <v>0</v>
      </c>
      <c r="D533" s="514">
        <v>0</v>
      </c>
      <c r="E533" s="514">
        <v>0</v>
      </c>
      <c r="F533" s="514">
        <v>0</v>
      </c>
      <c r="G533" s="514">
        <v>0</v>
      </c>
      <c r="H533" s="514">
        <v>0</v>
      </c>
      <c r="I533" s="514">
        <v>0</v>
      </c>
      <c r="J533" s="514">
        <v>0</v>
      </c>
      <c r="K533" s="514">
        <v>0</v>
      </c>
      <c r="L533" s="514">
        <v>0</v>
      </c>
      <c r="M533" s="514">
        <v>0</v>
      </c>
      <c r="N533" s="514">
        <v>0</v>
      </c>
      <c r="O533" s="499"/>
      <c r="P533" s="499"/>
      <c r="Q533" s="499"/>
    </row>
    <row r="534" spans="1:17" ht="14.4" x14ac:dyDescent="0.3">
      <c r="A534" s="502">
        <v>1311032</v>
      </c>
      <c r="B534" s="503" t="s">
        <v>2343</v>
      </c>
      <c r="C534" s="514">
        <v>0</v>
      </c>
      <c r="D534" s="514">
        <v>0</v>
      </c>
      <c r="E534" s="514">
        <v>0</v>
      </c>
      <c r="F534" s="514">
        <v>0</v>
      </c>
      <c r="G534" s="514">
        <v>0</v>
      </c>
      <c r="H534" s="514">
        <v>0</v>
      </c>
      <c r="I534" s="514">
        <v>0</v>
      </c>
      <c r="J534" s="514">
        <v>0</v>
      </c>
      <c r="K534" s="514">
        <v>0</v>
      </c>
      <c r="L534" s="514">
        <v>0</v>
      </c>
      <c r="M534" s="514">
        <v>0</v>
      </c>
      <c r="N534" s="514">
        <v>0</v>
      </c>
      <c r="O534" s="499"/>
      <c r="P534" s="499"/>
      <c r="Q534" s="499"/>
    </row>
    <row r="535" spans="1:17" ht="14.4" x14ac:dyDescent="0.3">
      <c r="A535" s="502">
        <v>1311033</v>
      </c>
      <c r="B535" s="503" t="s">
        <v>2344</v>
      </c>
      <c r="C535" s="514">
        <v>0</v>
      </c>
      <c r="D535" s="514">
        <v>0</v>
      </c>
      <c r="E535" s="514">
        <v>0</v>
      </c>
      <c r="F535" s="514">
        <v>0</v>
      </c>
      <c r="G535" s="514">
        <v>0</v>
      </c>
      <c r="H535" s="514">
        <v>0</v>
      </c>
      <c r="I535" s="514">
        <v>0</v>
      </c>
      <c r="J535" s="514">
        <v>0</v>
      </c>
      <c r="K535" s="514">
        <v>0</v>
      </c>
      <c r="L535" s="514">
        <v>0</v>
      </c>
      <c r="M535" s="514">
        <v>0</v>
      </c>
      <c r="N535" s="514">
        <v>0</v>
      </c>
      <c r="O535" s="499"/>
      <c r="P535" s="499"/>
      <c r="Q535" s="499"/>
    </row>
    <row r="536" spans="1:17" ht="14.4" x14ac:dyDescent="0.3">
      <c r="A536" s="502">
        <v>1311034</v>
      </c>
      <c r="B536" s="503" t="s">
        <v>2345</v>
      </c>
      <c r="C536" s="514">
        <v>0</v>
      </c>
      <c r="D536" s="514">
        <v>0</v>
      </c>
      <c r="E536" s="514">
        <v>0</v>
      </c>
      <c r="F536" s="514">
        <v>0</v>
      </c>
      <c r="G536" s="514">
        <v>0</v>
      </c>
      <c r="H536" s="514">
        <v>0</v>
      </c>
      <c r="I536" s="514">
        <v>0</v>
      </c>
      <c r="J536" s="514">
        <v>0</v>
      </c>
      <c r="K536" s="514">
        <v>0</v>
      </c>
      <c r="L536" s="514">
        <v>0</v>
      </c>
      <c r="M536" s="514">
        <v>0</v>
      </c>
      <c r="N536" s="514">
        <v>0</v>
      </c>
      <c r="O536" s="499"/>
      <c r="P536" s="499"/>
      <c r="Q536" s="499"/>
    </row>
    <row r="537" spans="1:17" ht="14.4" x14ac:dyDescent="0.3">
      <c r="A537" s="502">
        <v>1311035</v>
      </c>
      <c r="B537" s="503" t="s">
        <v>2346</v>
      </c>
      <c r="C537" s="514">
        <v>0</v>
      </c>
      <c r="D537" s="514">
        <v>0</v>
      </c>
      <c r="E537" s="514">
        <v>0</v>
      </c>
      <c r="F537" s="514">
        <v>0</v>
      </c>
      <c r="G537" s="514">
        <v>0</v>
      </c>
      <c r="H537" s="514">
        <v>0</v>
      </c>
      <c r="I537" s="514">
        <v>0</v>
      </c>
      <c r="J537" s="514">
        <v>0</v>
      </c>
      <c r="K537" s="514">
        <v>0</v>
      </c>
      <c r="L537" s="514">
        <v>0</v>
      </c>
      <c r="M537" s="514">
        <v>0</v>
      </c>
      <c r="N537" s="514">
        <v>0</v>
      </c>
      <c r="O537" s="499"/>
      <c r="P537" s="499"/>
      <c r="Q537" s="499"/>
    </row>
    <row r="538" spans="1:17" ht="14.4" x14ac:dyDescent="0.3">
      <c r="A538" s="502">
        <v>1311036</v>
      </c>
      <c r="B538" s="503" t="s">
        <v>2347</v>
      </c>
      <c r="C538" s="514">
        <v>0</v>
      </c>
      <c r="D538" s="514">
        <v>0</v>
      </c>
      <c r="E538" s="514">
        <v>0</v>
      </c>
      <c r="F538" s="514">
        <v>0</v>
      </c>
      <c r="G538" s="514">
        <v>0</v>
      </c>
      <c r="H538" s="514">
        <v>0</v>
      </c>
      <c r="I538" s="514">
        <v>0</v>
      </c>
      <c r="J538" s="514">
        <v>0</v>
      </c>
      <c r="K538" s="514">
        <v>0</v>
      </c>
      <c r="L538" s="514">
        <v>0</v>
      </c>
      <c r="M538" s="514">
        <v>0</v>
      </c>
      <c r="N538" s="514">
        <v>0</v>
      </c>
      <c r="O538" s="499"/>
      <c r="P538" s="499"/>
      <c r="Q538" s="499"/>
    </row>
    <row r="539" spans="1:17" ht="14.4" x14ac:dyDescent="0.3">
      <c r="A539" s="502">
        <v>1311037</v>
      </c>
      <c r="B539" s="503" t="s">
        <v>2348</v>
      </c>
      <c r="C539" s="514">
        <v>0</v>
      </c>
      <c r="D539" s="514">
        <v>0</v>
      </c>
      <c r="E539" s="514">
        <v>0</v>
      </c>
      <c r="F539" s="514">
        <v>0</v>
      </c>
      <c r="G539" s="514">
        <v>0</v>
      </c>
      <c r="H539" s="514">
        <v>0</v>
      </c>
      <c r="I539" s="514">
        <v>0</v>
      </c>
      <c r="J539" s="514">
        <v>0</v>
      </c>
      <c r="K539" s="514">
        <v>0</v>
      </c>
      <c r="L539" s="514">
        <v>0</v>
      </c>
      <c r="M539" s="514">
        <v>0</v>
      </c>
      <c r="N539" s="514">
        <v>0</v>
      </c>
      <c r="O539" s="499"/>
      <c r="P539" s="499"/>
      <c r="Q539" s="499"/>
    </row>
    <row r="540" spans="1:17" ht="14.4" x14ac:dyDescent="0.3">
      <c r="A540" s="502">
        <v>1311038</v>
      </c>
      <c r="B540" s="503" t="s">
        <v>2349</v>
      </c>
      <c r="C540" s="514">
        <v>0</v>
      </c>
      <c r="D540" s="514">
        <v>0</v>
      </c>
      <c r="E540" s="514">
        <v>0</v>
      </c>
      <c r="F540" s="514">
        <v>0</v>
      </c>
      <c r="G540" s="514">
        <v>0</v>
      </c>
      <c r="H540" s="514">
        <v>0</v>
      </c>
      <c r="I540" s="514">
        <v>0</v>
      </c>
      <c r="J540" s="514">
        <v>0</v>
      </c>
      <c r="K540" s="514">
        <v>0</v>
      </c>
      <c r="L540" s="514">
        <v>0</v>
      </c>
      <c r="M540" s="514">
        <v>0</v>
      </c>
      <c r="N540" s="514">
        <v>0</v>
      </c>
      <c r="O540" s="499"/>
      <c r="P540" s="499"/>
      <c r="Q540" s="499"/>
    </row>
    <row r="541" spans="1:17" ht="14.4" x14ac:dyDescent="0.3">
      <c r="A541" s="502">
        <v>1311040</v>
      </c>
      <c r="B541" s="503" t="s">
        <v>2350</v>
      </c>
      <c r="C541" s="514">
        <v>0</v>
      </c>
      <c r="D541" s="514">
        <v>0</v>
      </c>
      <c r="E541" s="514">
        <v>0</v>
      </c>
      <c r="F541" s="514">
        <v>0</v>
      </c>
      <c r="G541" s="514">
        <v>0</v>
      </c>
      <c r="H541" s="514">
        <v>0</v>
      </c>
      <c r="I541" s="514">
        <v>0</v>
      </c>
      <c r="J541" s="514">
        <v>0</v>
      </c>
      <c r="K541" s="514">
        <v>0</v>
      </c>
      <c r="L541" s="514">
        <v>0</v>
      </c>
      <c r="M541" s="514">
        <v>0</v>
      </c>
      <c r="N541" s="514">
        <v>0</v>
      </c>
      <c r="O541" s="499"/>
      <c r="P541" s="499"/>
      <c r="Q541" s="499"/>
    </row>
    <row r="542" spans="1:17" ht="14.4" x14ac:dyDescent="0.3">
      <c r="A542" s="502">
        <v>1311050</v>
      </c>
      <c r="B542" s="503" t="s">
        <v>2351</v>
      </c>
      <c r="C542" s="514">
        <v>0</v>
      </c>
      <c r="D542" s="514">
        <v>0</v>
      </c>
      <c r="E542" s="514">
        <v>0</v>
      </c>
      <c r="F542" s="514">
        <v>0</v>
      </c>
      <c r="G542" s="514">
        <v>0</v>
      </c>
      <c r="H542" s="514">
        <v>0</v>
      </c>
      <c r="I542" s="514">
        <v>0</v>
      </c>
      <c r="J542" s="514">
        <v>0</v>
      </c>
      <c r="K542" s="514">
        <v>0</v>
      </c>
      <c r="L542" s="514">
        <v>0</v>
      </c>
      <c r="M542" s="514">
        <v>0</v>
      </c>
      <c r="N542" s="514">
        <v>0</v>
      </c>
      <c r="O542" s="499"/>
      <c r="P542" s="499"/>
      <c r="Q542" s="499"/>
    </row>
    <row r="543" spans="1:17" ht="14.4" x14ac:dyDescent="0.3">
      <c r="A543" s="502">
        <v>1311060</v>
      </c>
      <c r="B543" s="503" t="s">
        <v>2352</v>
      </c>
      <c r="C543" s="514">
        <v>0</v>
      </c>
      <c r="D543" s="514">
        <v>0</v>
      </c>
      <c r="E543" s="514">
        <v>0</v>
      </c>
      <c r="F543" s="514">
        <v>0</v>
      </c>
      <c r="G543" s="514">
        <v>0</v>
      </c>
      <c r="H543" s="514">
        <v>0</v>
      </c>
      <c r="I543" s="514">
        <v>0</v>
      </c>
      <c r="J543" s="514">
        <v>0</v>
      </c>
      <c r="K543" s="514">
        <v>0</v>
      </c>
      <c r="L543" s="514">
        <v>0</v>
      </c>
      <c r="M543" s="514">
        <v>0</v>
      </c>
      <c r="N543" s="514">
        <v>0</v>
      </c>
      <c r="O543" s="499"/>
      <c r="P543" s="499"/>
      <c r="Q543" s="499"/>
    </row>
    <row r="544" spans="1:17" ht="14.4" x14ac:dyDescent="0.3">
      <c r="A544" s="502">
        <v>1311070</v>
      </c>
      <c r="B544" s="503" t="s">
        <v>2353</v>
      </c>
      <c r="C544" s="514">
        <v>0</v>
      </c>
      <c r="D544" s="514">
        <v>0</v>
      </c>
      <c r="E544" s="514">
        <v>0</v>
      </c>
      <c r="F544" s="514">
        <v>0</v>
      </c>
      <c r="G544" s="514">
        <v>0</v>
      </c>
      <c r="H544" s="514">
        <v>0</v>
      </c>
      <c r="I544" s="514">
        <v>0</v>
      </c>
      <c r="J544" s="514">
        <v>0</v>
      </c>
      <c r="K544" s="514">
        <v>0</v>
      </c>
      <c r="L544" s="514">
        <v>0</v>
      </c>
      <c r="M544" s="514">
        <v>0</v>
      </c>
      <c r="N544" s="514">
        <v>0</v>
      </c>
      <c r="O544" s="499"/>
      <c r="P544" s="499"/>
      <c r="Q544" s="499"/>
    </row>
    <row r="545" spans="1:17" ht="14.4" x14ac:dyDescent="0.3">
      <c r="A545" s="502">
        <v>1311080</v>
      </c>
      <c r="B545" s="503" t="s">
        <v>2354</v>
      </c>
      <c r="C545" s="514">
        <v>0</v>
      </c>
      <c r="D545" s="514">
        <v>0</v>
      </c>
      <c r="E545" s="514">
        <v>0</v>
      </c>
      <c r="F545" s="514">
        <v>0</v>
      </c>
      <c r="G545" s="514">
        <v>0</v>
      </c>
      <c r="H545" s="514">
        <v>0</v>
      </c>
      <c r="I545" s="514">
        <v>0</v>
      </c>
      <c r="J545" s="514">
        <v>0</v>
      </c>
      <c r="K545" s="514">
        <v>0</v>
      </c>
      <c r="L545" s="514">
        <v>0</v>
      </c>
      <c r="M545" s="514">
        <v>0</v>
      </c>
      <c r="N545" s="514">
        <v>0</v>
      </c>
      <c r="O545" s="499"/>
      <c r="P545" s="499"/>
      <c r="Q545" s="499"/>
    </row>
    <row r="546" spans="1:17" ht="14.4" x14ac:dyDescent="0.3">
      <c r="A546" s="502">
        <v>1311090</v>
      </c>
      <c r="B546" s="503" t="s">
        <v>2355</v>
      </c>
      <c r="C546" s="514">
        <v>0</v>
      </c>
      <c r="D546" s="514">
        <v>0</v>
      </c>
      <c r="E546" s="514">
        <v>0</v>
      </c>
      <c r="F546" s="514">
        <v>0</v>
      </c>
      <c r="G546" s="514">
        <v>0</v>
      </c>
      <c r="H546" s="514">
        <v>0</v>
      </c>
      <c r="I546" s="514">
        <v>0</v>
      </c>
      <c r="J546" s="514">
        <v>0</v>
      </c>
      <c r="K546" s="514">
        <v>0</v>
      </c>
      <c r="L546" s="514">
        <v>0</v>
      </c>
      <c r="M546" s="514">
        <v>0</v>
      </c>
      <c r="N546" s="514">
        <v>0</v>
      </c>
      <c r="O546" s="499"/>
      <c r="P546" s="499"/>
      <c r="Q546" s="499"/>
    </row>
    <row r="547" spans="1:17" ht="14.4" x14ac:dyDescent="0.3">
      <c r="A547" s="502">
        <v>1311100</v>
      </c>
      <c r="B547" s="503" t="s">
        <v>2356</v>
      </c>
      <c r="C547" s="514">
        <v>0</v>
      </c>
      <c r="D547" s="514">
        <v>0</v>
      </c>
      <c r="E547" s="514">
        <v>0</v>
      </c>
      <c r="F547" s="514">
        <v>0</v>
      </c>
      <c r="G547" s="514">
        <v>0</v>
      </c>
      <c r="H547" s="514">
        <v>0</v>
      </c>
      <c r="I547" s="514">
        <v>0</v>
      </c>
      <c r="J547" s="514">
        <v>0</v>
      </c>
      <c r="K547" s="514">
        <v>0</v>
      </c>
      <c r="L547" s="514">
        <v>0</v>
      </c>
      <c r="M547" s="514">
        <v>0</v>
      </c>
      <c r="N547" s="514">
        <v>0</v>
      </c>
      <c r="O547" s="499"/>
      <c r="P547" s="499"/>
      <c r="Q547" s="499"/>
    </row>
    <row r="548" spans="1:17" ht="14.4" x14ac:dyDescent="0.3">
      <c r="A548" s="502">
        <v>1311110</v>
      </c>
      <c r="B548" s="503" t="s">
        <v>2357</v>
      </c>
      <c r="C548" s="514">
        <v>0</v>
      </c>
      <c r="D548" s="514">
        <v>0</v>
      </c>
      <c r="E548" s="514">
        <v>0</v>
      </c>
      <c r="F548" s="514">
        <v>0</v>
      </c>
      <c r="G548" s="514">
        <v>0</v>
      </c>
      <c r="H548" s="514">
        <v>0</v>
      </c>
      <c r="I548" s="514">
        <v>0</v>
      </c>
      <c r="J548" s="514">
        <v>0</v>
      </c>
      <c r="K548" s="514">
        <v>0</v>
      </c>
      <c r="L548" s="514">
        <v>0</v>
      </c>
      <c r="M548" s="514">
        <v>0</v>
      </c>
      <c r="N548" s="514">
        <v>0</v>
      </c>
      <c r="O548" s="499"/>
      <c r="P548" s="499"/>
      <c r="Q548" s="499"/>
    </row>
    <row r="549" spans="1:17" ht="14.4" x14ac:dyDescent="0.3">
      <c r="A549" s="502">
        <v>1311120</v>
      </c>
      <c r="B549" s="503" t="s">
        <v>2358</v>
      </c>
      <c r="C549" s="514">
        <v>0</v>
      </c>
      <c r="D549" s="514">
        <v>0</v>
      </c>
      <c r="E549" s="514">
        <v>0</v>
      </c>
      <c r="F549" s="514">
        <v>0</v>
      </c>
      <c r="G549" s="514">
        <v>0</v>
      </c>
      <c r="H549" s="514">
        <v>0</v>
      </c>
      <c r="I549" s="514">
        <v>0</v>
      </c>
      <c r="J549" s="514">
        <v>0</v>
      </c>
      <c r="K549" s="514">
        <v>0</v>
      </c>
      <c r="L549" s="514">
        <v>0</v>
      </c>
      <c r="M549" s="514">
        <v>0</v>
      </c>
      <c r="N549" s="514">
        <v>0</v>
      </c>
      <c r="O549" s="499"/>
      <c r="P549" s="499"/>
      <c r="Q549" s="499"/>
    </row>
    <row r="550" spans="1:17" ht="14.4" x14ac:dyDescent="0.3">
      <c r="A550" s="502">
        <v>1311130</v>
      </c>
      <c r="B550" s="503" t="s">
        <v>2359</v>
      </c>
      <c r="C550" s="514">
        <v>0</v>
      </c>
      <c r="D550" s="514">
        <v>0</v>
      </c>
      <c r="E550" s="514">
        <v>0</v>
      </c>
      <c r="F550" s="514">
        <v>0</v>
      </c>
      <c r="G550" s="514">
        <v>0</v>
      </c>
      <c r="H550" s="514">
        <v>0</v>
      </c>
      <c r="I550" s="514">
        <v>0</v>
      </c>
      <c r="J550" s="514">
        <v>0</v>
      </c>
      <c r="K550" s="514">
        <v>0</v>
      </c>
      <c r="L550" s="514">
        <v>0</v>
      </c>
      <c r="M550" s="514">
        <v>0</v>
      </c>
      <c r="N550" s="514">
        <v>0</v>
      </c>
      <c r="O550" s="499"/>
      <c r="P550" s="499"/>
      <c r="Q550" s="499"/>
    </row>
    <row r="551" spans="1:17" ht="14.4" x14ac:dyDescent="0.3">
      <c r="A551" s="502">
        <v>1311131</v>
      </c>
      <c r="B551" s="503" t="s">
        <v>2360</v>
      </c>
      <c r="C551" s="514">
        <v>0</v>
      </c>
      <c r="D551" s="514">
        <v>0</v>
      </c>
      <c r="E551" s="514">
        <v>0</v>
      </c>
      <c r="F551" s="514">
        <v>0</v>
      </c>
      <c r="G551" s="514">
        <v>0</v>
      </c>
      <c r="H551" s="514">
        <v>0</v>
      </c>
      <c r="I551" s="514">
        <v>0</v>
      </c>
      <c r="J551" s="514">
        <v>0</v>
      </c>
      <c r="K551" s="514">
        <v>0</v>
      </c>
      <c r="L551" s="514">
        <v>0</v>
      </c>
      <c r="M551" s="514">
        <v>0</v>
      </c>
      <c r="N551" s="514">
        <v>0</v>
      </c>
      <c r="O551" s="499"/>
      <c r="P551" s="499"/>
      <c r="Q551" s="499"/>
    </row>
    <row r="552" spans="1:17" ht="14.4" x14ac:dyDescent="0.3">
      <c r="A552" s="502">
        <v>1311132</v>
      </c>
      <c r="B552" s="503" t="s">
        <v>2361</v>
      </c>
      <c r="C552" s="514">
        <v>0</v>
      </c>
      <c r="D552" s="514">
        <v>0</v>
      </c>
      <c r="E552" s="514">
        <v>0</v>
      </c>
      <c r="F552" s="514">
        <v>0</v>
      </c>
      <c r="G552" s="514">
        <v>0</v>
      </c>
      <c r="H552" s="514">
        <v>0</v>
      </c>
      <c r="I552" s="514">
        <v>0</v>
      </c>
      <c r="J552" s="514">
        <v>0</v>
      </c>
      <c r="K552" s="514">
        <v>0</v>
      </c>
      <c r="L552" s="514">
        <v>0</v>
      </c>
      <c r="M552" s="514">
        <v>0</v>
      </c>
      <c r="N552" s="514">
        <v>0</v>
      </c>
      <c r="O552" s="499"/>
      <c r="P552" s="499"/>
      <c r="Q552" s="499"/>
    </row>
    <row r="553" spans="1:17" ht="14.4" x14ac:dyDescent="0.3">
      <c r="A553" s="502">
        <v>1311133</v>
      </c>
      <c r="B553" s="503" t="s">
        <v>2362</v>
      </c>
      <c r="C553" s="514">
        <v>0</v>
      </c>
      <c r="D553" s="514">
        <v>0</v>
      </c>
      <c r="E553" s="514">
        <v>0</v>
      </c>
      <c r="F553" s="514">
        <v>0</v>
      </c>
      <c r="G553" s="514">
        <v>0</v>
      </c>
      <c r="H553" s="514">
        <v>0</v>
      </c>
      <c r="I553" s="514">
        <v>0</v>
      </c>
      <c r="J553" s="514">
        <v>0</v>
      </c>
      <c r="K553" s="514">
        <v>0</v>
      </c>
      <c r="L553" s="514">
        <v>0</v>
      </c>
      <c r="M553" s="514">
        <v>0</v>
      </c>
      <c r="N553" s="514">
        <v>0</v>
      </c>
      <c r="O553" s="499"/>
      <c r="P553" s="499"/>
      <c r="Q553" s="499"/>
    </row>
    <row r="554" spans="1:17" ht="14.4" x14ac:dyDescent="0.3">
      <c r="A554" s="502">
        <v>1311134</v>
      </c>
      <c r="B554" s="503" t="s">
        <v>2363</v>
      </c>
      <c r="C554" s="514">
        <v>0</v>
      </c>
      <c r="D554" s="514">
        <v>0</v>
      </c>
      <c r="E554" s="514">
        <v>0</v>
      </c>
      <c r="F554" s="514">
        <v>0</v>
      </c>
      <c r="G554" s="514">
        <v>0</v>
      </c>
      <c r="H554" s="514">
        <v>0</v>
      </c>
      <c r="I554" s="514">
        <v>0</v>
      </c>
      <c r="J554" s="514">
        <v>0</v>
      </c>
      <c r="K554" s="514">
        <v>0</v>
      </c>
      <c r="L554" s="514">
        <v>0</v>
      </c>
      <c r="M554" s="514">
        <v>0</v>
      </c>
      <c r="N554" s="514">
        <v>0</v>
      </c>
      <c r="O554" s="499"/>
      <c r="P554" s="499"/>
      <c r="Q554" s="499"/>
    </row>
    <row r="555" spans="1:17" ht="14.4" x14ac:dyDescent="0.3">
      <c r="A555" s="502">
        <v>1311135</v>
      </c>
      <c r="B555" s="503" t="s">
        <v>2364</v>
      </c>
      <c r="C555" s="514">
        <v>0</v>
      </c>
      <c r="D555" s="514">
        <v>0</v>
      </c>
      <c r="E555" s="514">
        <v>0</v>
      </c>
      <c r="F555" s="514">
        <v>0</v>
      </c>
      <c r="G555" s="514">
        <v>0</v>
      </c>
      <c r="H555" s="514">
        <v>0</v>
      </c>
      <c r="I555" s="514">
        <v>0</v>
      </c>
      <c r="J555" s="514">
        <v>0</v>
      </c>
      <c r="K555" s="514">
        <v>0</v>
      </c>
      <c r="L555" s="514">
        <v>0</v>
      </c>
      <c r="M555" s="514">
        <v>0</v>
      </c>
      <c r="N555" s="514">
        <v>0</v>
      </c>
      <c r="O555" s="499"/>
      <c r="P555" s="499"/>
      <c r="Q555" s="499"/>
    </row>
    <row r="556" spans="1:17" ht="14.4" x14ac:dyDescent="0.3">
      <c r="A556" s="502">
        <v>1311136</v>
      </c>
      <c r="B556" s="503" t="s">
        <v>2365</v>
      </c>
      <c r="C556" s="514">
        <v>0</v>
      </c>
      <c r="D556" s="514">
        <v>0</v>
      </c>
      <c r="E556" s="514">
        <v>0</v>
      </c>
      <c r="F556" s="514">
        <v>0</v>
      </c>
      <c r="G556" s="514">
        <v>0</v>
      </c>
      <c r="H556" s="514">
        <v>0</v>
      </c>
      <c r="I556" s="514">
        <v>0</v>
      </c>
      <c r="J556" s="514">
        <v>0</v>
      </c>
      <c r="K556" s="514">
        <v>0</v>
      </c>
      <c r="L556" s="514">
        <v>0</v>
      </c>
      <c r="M556" s="514">
        <v>0</v>
      </c>
      <c r="N556" s="514">
        <v>0</v>
      </c>
      <c r="O556" s="499"/>
      <c r="P556" s="499"/>
      <c r="Q556" s="499"/>
    </row>
    <row r="557" spans="1:17" ht="14.4" x14ac:dyDescent="0.3">
      <c r="A557" s="502">
        <v>1311137</v>
      </c>
      <c r="B557" s="503" t="s">
        <v>2366</v>
      </c>
      <c r="C557" s="514">
        <v>0</v>
      </c>
      <c r="D557" s="514">
        <v>0</v>
      </c>
      <c r="E557" s="514">
        <v>0</v>
      </c>
      <c r="F557" s="514">
        <v>0</v>
      </c>
      <c r="G557" s="514">
        <v>0</v>
      </c>
      <c r="H557" s="514">
        <v>0</v>
      </c>
      <c r="I557" s="514">
        <v>0</v>
      </c>
      <c r="J557" s="514">
        <v>0</v>
      </c>
      <c r="K557" s="514">
        <v>0</v>
      </c>
      <c r="L557" s="514">
        <v>0</v>
      </c>
      <c r="M557" s="514">
        <v>0</v>
      </c>
      <c r="N557" s="514">
        <v>0</v>
      </c>
      <c r="O557" s="499"/>
      <c r="P557" s="499"/>
      <c r="Q557" s="499"/>
    </row>
    <row r="558" spans="1:17" ht="14.4" x14ac:dyDescent="0.3">
      <c r="A558" s="502">
        <v>1311138</v>
      </c>
      <c r="B558" s="503" t="s">
        <v>2367</v>
      </c>
      <c r="C558" s="514">
        <v>0</v>
      </c>
      <c r="D558" s="514">
        <v>0</v>
      </c>
      <c r="E558" s="514">
        <v>0</v>
      </c>
      <c r="F558" s="514">
        <v>0</v>
      </c>
      <c r="G558" s="514">
        <v>0</v>
      </c>
      <c r="H558" s="514">
        <v>0</v>
      </c>
      <c r="I558" s="514">
        <v>0</v>
      </c>
      <c r="J558" s="514">
        <v>0</v>
      </c>
      <c r="K558" s="514">
        <v>0</v>
      </c>
      <c r="L558" s="514">
        <v>0</v>
      </c>
      <c r="M558" s="514">
        <v>0</v>
      </c>
      <c r="N558" s="514">
        <v>0</v>
      </c>
      <c r="O558" s="499"/>
      <c r="P558" s="499"/>
      <c r="Q558" s="499"/>
    </row>
    <row r="559" spans="1:17" ht="14.4" x14ac:dyDescent="0.3">
      <c r="A559" s="502">
        <v>1311140</v>
      </c>
      <c r="B559" s="503" t="s">
        <v>2368</v>
      </c>
      <c r="C559" s="514">
        <v>0</v>
      </c>
      <c r="D559" s="514">
        <v>0</v>
      </c>
      <c r="E559" s="514">
        <v>0</v>
      </c>
      <c r="F559" s="514">
        <v>0</v>
      </c>
      <c r="G559" s="514">
        <v>0</v>
      </c>
      <c r="H559" s="514">
        <v>0</v>
      </c>
      <c r="I559" s="514">
        <v>0</v>
      </c>
      <c r="J559" s="514">
        <v>0</v>
      </c>
      <c r="K559" s="514">
        <v>0</v>
      </c>
      <c r="L559" s="514">
        <v>0</v>
      </c>
      <c r="M559" s="514">
        <v>0</v>
      </c>
      <c r="N559" s="514">
        <v>0</v>
      </c>
      <c r="O559" s="499"/>
      <c r="P559" s="499"/>
      <c r="Q559" s="499"/>
    </row>
    <row r="560" spans="1:17" ht="14.4" x14ac:dyDescent="0.3">
      <c r="A560" s="502">
        <v>1311150</v>
      </c>
      <c r="B560" s="503" t="s">
        <v>2369</v>
      </c>
      <c r="C560" s="514">
        <v>0</v>
      </c>
      <c r="D560" s="514">
        <v>0</v>
      </c>
      <c r="E560" s="514">
        <v>0</v>
      </c>
      <c r="F560" s="514">
        <v>0</v>
      </c>
      <c r="G560" s="514">
        <v>0</v>
      </c>
      <c r="H560" s="514">
        <v>0</v>
      </c>
      <c r="I560" s="514">
        <v>0</v>
      </c>
      <c r="J560" s="514">
        <v>0</v>
      </c>
      <c r="K560" s="514">
        <v>0</v>
      </c>
      <c r="L560" s="514">
        <v>0</v>
      </c>
      <c r="M560" s="514">
        <v>0</v>
      </c>
      <c r="N560" s="514">
        <v>0</v>
      </c>
      <c r="O560" s="499"/>
      <c r="P560" s="499"/>
      <c r="Q560" s="499"/>
    </row>
    <row r="561" spans="1:17" ht="14.4" x14ac:dyDescent="0.3">
      <c r="A561" s="502">
        <v>1311160</v>
      </c>
      <c r="B561" s="503" t="s">
        <v>2370</v>
      </c>
      <c r="C561" s="514">
        <v>0</v>
      </c>
      <c r="D561" s="514">
        <v>0</v>
      </c>
      <c r="E561" s="514">
        <v>0</v>
      </c>
      <c r="F561" s="514">
        <v>0</v>
      </c>
      <c r="G561" s="514">
        <v>0</v>
      </c>
      <c r="H561" s="514">
        <v>0</v>
      </c>
      <c r="I561" s="514">
        <v>0</v>
      </c>
      <c r="J561" s="514">
        <v>0</v>
      </c>
      <c r="K561" s="514">
        <v>0</v>
      </c>
      <c r="L561" s="514">
        <v>0</v>
      </c>
      <c r="M561" s="514">
        <v>0</v>
      </c>
      <c r="N561" s="514">
        <v>0</v>
      </c>
      <c r="O561" s="499"/>
      <c r="P561" s="499"/>
      <c r="Q561" s="499"/>
    </row>
    <row r="562" spans="1:17" ht="14.4" x14ac:dyDescent="0.3">
      <c r="A562" s="502">
        <v>1311170</v>
      </c>
      <c r="B562" s="503" t="s">
        <v>2371</v>
      </c>
      <c r="C562" s="514">
        <v>0</v>
      </c>
      <c r="D562" s="514">
        <v>0</v>
      </c>
      <c r="E562" s="514">
        <v>0</v>
      </c>
      <c r="F562" s="514">
        <v>0</v>
      </c>
      <c r="G562" s="514">
        <v>0</v>
      </c>
      <c r="H562" s="514">
        <v>0</v>
      </c>
      <c r="I562" s="514">
        <v>0</v>
      </c>
      <c r="J562" s="514">
        <v>0</v>
      </c>
      <c r="K562" s="514">
        <v>0</v>
      </c>
      <c r="L562" s="514">
        <v>0</v>
      </c>
      <c r="M562" s="514">
        <v>0</v>
      </c>
      <c r="N562" s="514">
        <v>0</v>
      </c>
      <c r="O562" s="499"/>
      <c r="P562" s="499"/>
      <c r="Q562" s="499"/>
    </row>
    <row r="563" spans="1:17" ht="14.4" x14ac:dyDescent="0.3">
      <c r="A563" s="502">
        <v>1311171</v>
      </c>
      <c r="B563" s="503" t="s">
        <v>2372</v>
      </c>
      <c r="C563" s="514">
        <v>0</v>
      </c>
      <c r="D563" s="514">
        <v>0</v>
      </c>
      <c r="E563" s="514">
        <v>0</v>
      </c>
      <c r="F563" s="514">
        <v>0</v>
      </c>
      <c r="G563" s="514">
        <v>0</v>
      </c>
      <c r="H563" s="514">
        <v>0</v>
      </c>
      <c r="I563" s="514">
        <v>0</v>
      </c>
      <c r="J563" s="514">
        <v>0</v>
      </c>
      <c r="K563" s="514">
        <v>0</v>
      </c>
      <c r="L563" s="514">
        <v>0</v>
      </c>
      <c r="M563" s="514">
        <v>0</v>
      </c>
      <c r="N563" s="514">
        <v>0</v>
      </c>
      <c r="O563" s="499"/>
      <c r="P563" s="499"/>
      <c r="Q563" s="499"/>
    </row>
    <row r="564" spans="1:17" ht="14.4" x14ac:dyDescent="0.3">
      <c r="A564" s="502">
        <v>1311172</v>
      </c>
      <c r="B564" s="503" t="s">
        <v>2373</v>
      </c>
      <c r="C564" s="514">
        <v>0</v>
      </c>
      <c r="D564" s="514">
        <v>0</v>
      </c>
      <c r="E564" s="514">
        <v>0</v>
      </c>
      <c r="F564" s="514">
        <v>0</v>
      </c>
      <c r="G564" s="514">
        <v>0</v>
      </c>
      <c r="H564" s="514">
        <v>0</v>
      </c>
      <c r="I564" s="514">
        <v>0</v>
      </c>
      <c r="J564" s="514">
        <v>0</v>
      </c>
      <c r="K564" s="514">
        <v>0</v>
      </c>
      <c r="L564" s="514">
        <v>0</v>
      </c>
      <c r="M564" s="514">
        <v>0</v>
      </c>
      <c r="N564" s="514">
        <v>0</v>
      </c>
      <c r="O564" s="499"/>
      <c r="P564" s="499"/>
      <c r="Q564" s="499"/>
    </row>
    <row r="565" spans="1:17" ht="14.4" x14ac:dyDescent="0.3">
      <c r="A565" s="502">
        <v>1311173</v>
      </c>
      <c r="B565" s="503" t="s">
        <v>2374</v>
      </c>
      <c r="C565" s="514">
        <v>0</v>
      </c>
      <c r="D565" s="514">
        <v>0</v>
      </c>
      <c r="E565" s="514">
        <v>0</v>
      </c>
      <c r="F565" s="514">
        <v>0</v>
      </c>
      <c r="G565" s="514">
        <v>0</v>
      </c>
      <c r="H565" s="514">
        <v>0</v>
      </c>
      <c r="I565" s="514">
        <v>0</v>
      </c>
      <c r="J565" s="514">
        <v>0</v>
      </c>
      <c r="K565" s="514">
        <v>0</v>
      </c>
      <c r="L565" s="514">
        <v>0</v>
      </c>
      <c r="M565" s="514">
        <v>0</v>
      </c>
      <c r="N565" s="514">
        <v>0</v>
      </c>
      <c r="O565" s="499"/>
      <c r="P565" s="499"/>
      <c r="Q565" s="499"/>
    </row>
    <row r="566" spans="1:17" ht="14.4" x14ac:dyDescent="0.3">
      <c r="A566" s="502">
        <v>1311174</v>
      </c>
      <c r="B566" s="503" t="s">
        <v>2375</v>
      </c>
      <c r="C566" s="514">
        <v>0</v>
      </c>
      <c r="D566" s="514">
        <v>0</v>
      </c>
      <c r="E566" s="514">
        <v>0</v>
      </c>
      <c r="F566" s="514">
        <v>0</v>
      </c>
      <c r="G566" s="514">
        <v>0</v>
      </c>
      <c r="H566" s="514">
        <v>0</v>
      </c>
      <c r="I566" s="514">
        <v>0</v>
      </c>
      <c r="J566" s="514">
        <v>0</v>
      </c>
      <c r="K566" s="514">
        <v>0</v>
      </c>
      <c r="L566" s="514">
        <v>0</v>
      </c>
      <c r="M566" s="514">
        <v>0</v>
      </c>
      <c r="N566" s="514">
        <v>0</v>
      </c>
      <c r="O566" s="499"/>
      <c r="P566" s="499"/>
      <c r="Q566" s="499"/>
    </row>
    <row r="567" spans="1:17" ht="14.4" x14ac:dyDescent="0.3">
      <c r="A567" s="502">
        <v>1311175</v>
      </c>
      <c r="B567" s="503" t="s">
        <v>2376</v>
      </c>
      <c r="C567" s="514">
        <v>0</v>
      </c>
      <c r="D567" s="514">
        <v>0</v>
      </c>
      <c r="E567" s="514">
        <v>0</v>
      </c>
      <c r="F567" s="514">
        <v>0</v>
      </c>
      <c r="G567" s="514">
        <v>0</v>
      </c>
      <c r="H567" s="514">
        <v>0</v>
      </c>
      <c r="I567" s="514">
        <v>0</v>
      </c>
      <c r="J567" s="514">
        <v>0</v>
      </c>
      <c r="K567" s="514">
        <v>0</v>
      </c>
      <c r="L567" s="514">
        <v>0</v>
      </c>
      <c r="M567" s="514">
        <v>0</v>
      </c>
      <c r="N567" s="514">
        <v>0</v>
      </c>
      <c r="O567" s="499"/>
      <c r="P567" s="499"/>
      <c r="Q567" s="499"/>
    </row>
    <row r="568" spans="1:17" ht="14.4" x14ac:dyDescent="0.3">
      <c r="A568" s="502">
        <v>1311176</v>
      </c>
      <c r="B568" s="503" t="s">
        <v>2377</v>
      </c>
      <c r="C568" s="514">
        <v>0</v>
      </c>
      <c r="D568" s="514">
        <v>0</v>
      </c>
      <c r="E568" s="514">
        <v>0</v>
      </c>
      <c r="F568" s="514">
        <v>0</v>
      </c>
      <c r="G568" s="514">
        <v>0</v>
      </c>
      <c r="H568" s="514">
        <v>0</v>
      </c>
      <c r="I568" s="514">
        <v>0</v>
      </c>
      <c r="J568" s="514">
        <v>0</v>
      </c>
      <c r="K568" s="514">
        <v>0</v>
      </c>
      <c r="L568" s="514">
        <v>0</v>
      </c>
      <c r="M568" s="514">
        <v>0</v>
      </c>
      <c r="N568" s="514">
        <v>0</v>
      </c>
      <c r="O568" s="499"/>
      <c r="P568" s="499"/>
      <c r="Q568" s="499"/>
    </row>
    <row r="569" spans="1:17" ht="14.4" x14ac:dyDescent="0.3">
      <c r="A569" s="502">
        <v>1311177</v>
      </c>
      <c r="B569" s="503" t="s">
        <v>2378</v>
      </c>
      <c r="C569" s="514">
        <v>0</v>
      </c>
      <c r="D569" s="514">
        <v>0</v>
      </c>
      <c r="E569" s="514">
        <v>0</v>
      </c>
      <c r="F569" s="514">
        <v>0</v>
      </c>
      <c r="G569" s="514">
        <v>0</v>
      </c>
      <c r="H569" s="514">
        <v>0</v>
      </c>
      <c r="I569" s="514">
        <v>0</v>
      </c>
      <c r="J569" s="514">
        <v>0</v>
      </c>
      <c r="K569" s="514">
        <v>0</v>
      </c>
      <c r="L569" s="514">
        <v>0</v>
      </c>
      <c r="M569" s="514">
        <v>0</v>
      </c>
      <c r="N569" s="514">
        <v>0</v>
      </c>
      <c r="O569" s="499"/>
      <c r="P569" s="499"/>
      <c r="Q569" s="499"/>
    </row>
    <row r="570" spans="1:17" ht="14.4" x14ac:dyDescent="0.3">
      <c r="A570" s="502">
        <v>1311178</v>
      </c>
      <c r="B570" s="503" t="s">
        <v>2379</v>
      </c>
      <c r="C570" s="514">
        <v>0</v>
      </c>
      <c r="D570" s="514">
        <v>0</v>
      </c>
      <c r="E570" s="514">
        <v>0</v>
      </c>
      <c r="F570" s="514">
        <v>0</v>
      </c>
      <c r="G570" s="514">
        <v>0</v>
      </c>
      <c r="H570" s="514">
        <v>0</v>
      </c>
      <c r="I570" s="514">
        <v>0</v>
      </c>
      <c r="J570" s="514">
        <v>0</v>
      </c>
      <c r="K570" s="514">
        <v>0</v>
      </c>
      <c r="L570" s="514">
        <v>0</v>
      </c>
      <c r="M570" s="514">
        <v>0</v>
      </c>
      <c r="N570" s="514">
        <v>0</v>
      </c>
      <c r="O570" s="499"/>
      <c r="P570" s="499"/>
      <c r="Q570" s="499"/>
    </row>
    <row r="571" spans="1:17" ht="14.4" x14ac:dyDescent="0.3">
      <c r="A571" s="502">
        <v>1311180</v>
      </c>
      <c r="B571" s="503" t="s">
        <v>2380</v>
      </c>
      <c r="C571" s="514">
        <v>0</v>
      </c>
      <c r="D571" s="514">
        <v>0</v>
      </c>
      <c r="E571" s="514">
        <v>0</v>
      </c>
      <c r="F571" s="514">
        <v>0</v>
      </c>
      <c r="G571" s="514">
        <v>0</v>
      </c>
      <c r="H571" s="514">
        <v>0</v>
      </c>
      <c r="I571" s="514">
        <v>0</v>
      </c>
      <c r="J571" s="514">
        <v>0</v>
      </c>
      <c r="K571" s="514">
        <v>0</v>
      </c>
      <c r="L571" s="514">
        <v>0</v>
      </c>
      <c r="M571" s="514">
        <v>0</v>
      </c>
      <c r="N571" s="514">
        <v>0</v>
      </c>
      <c r="O571" s="499"/>
      <c r="P571" s="499"/>
      <c r="Q571" s="499"/>
    </row>
    <row r="572" spans="1:17" ht="14.4" x14ac:dyDescent="0.3">
      <c r="A572" s="502">
        <v>1311181</v>
      </c>
      <c r="B572" s="503" t="s">
        <v>2381</v>
      </c>
      <c r="C572" s="514">
        <v>0</v>
      </c>
      <c r="D572" s="514">
        <v>0</v>
      </c>
      <c r="E572" s="514">
        <v>0</v>
      </c>
      <c r="F572" s="514">
        <v>0</v>
      </c>
      <c r="G572" s="514">
        <v>0</v>
      </c>
      <c r="H572" s="514">
        <v>0</v>
      </c>
      <c r="I572" s="514">
        <v>0</v>
      </c>
      <c r="J572" s="514">
        <v>0</v>
      </c>
      <c r="K572" s="514">
        <v>0</v>
      </c>
      <c r="L572" s="514">
        <v>0</v>
      </c>
      <c r="M572" s="514">
        <v>0</v>
      </c>
      <c r="N572" s="514">
        <v>0</v>
      </c>
      <c r="O572" s="499"/>
      <c r="P572" s="499"/>
      <c r="Q572" s="499"/>
    </row>
    <row r="573" spans="1:17" ht="14.4" x14ac:dyDescent="0.3">
      <c r="A573" s="502">
        <v>1311182</v>
      </c>
      <c r="B573" s="503" t="s">
        <v>2382</v>
      </c>
      <c r="C573" s="514">
        <v>0</v>
      </c>
      <c r="D573" s="514">
        <v>0</v>
      </c>
      <c r="E573" s="514">
        <v>0</v>
      </c>
      <c r="F573" s="514">
        <v>0</v>
      </c>
      <c r="G573" s="514">
        <v>0</v>
      </c>
      <c r="H573" s="514">
        <v>0</v>
      </c>
      <c r="I573" s="514">
        <v>0</v>
      </c>
      <c r="J573" s="514">
        <v>0</v>
      </c>
      <c r="K573" s="514">
        <v>0</v>
      </c>
      <c r="L573" s="514">
        <v>0</v>
      </c>
      <c r="M573" s="514">
        <v>0</v>
      </c>
      <c r="N573" s="514">
        <v>0</v>
      </c>
      <c r="O573" s="499"/>
      <c r="P573" s="499"/>
      <c r="Q573" s="499"/>
    </row>
    <row r="574" spans="1:17" ht="14.4" x14ac:dyDescent="0.3">
      <c r="A574" s="502">
        <v>1311183</v>
      </c>
      <c r="B574" s="503" t="s">
        <v>2383</v>
      </c>
      <c r="C574" s="514">
        <v>0</v>
      </c>
      <c r="D574" s="514">
        <v>0</v>
      </c>
      <c r="E574" s="514">
        <v>0</v>
      </c>
      <c r="F574" s="514">
        <v>0</v>
      </c>
      <c r="G574" s="514">
        <v>0</v>
      </c>
      <c r="H574" s="514">
        <v>0</v>
      </c>
      <c r="I574" s="514">
        <v>0</v>
      </c>
      <c r="J574" s="514">
        <v>0</v>
      </c>
      <c r="K574" s="514">
        <v>0</v>
      </c>
      <c r="L574" s="514">
        <v>0</v>
      </c>
      <c r="M574" s="514">
        <v>0</v>
      </c>
      <c r="N574" s="514">
        <v>0</v>
      </c>
      <c r="O574" s="499"/>
      <c r="P574" s="499"/>
      <c r="Q574" s="499"/>
    </row>
    <row r="575" spans="1:17" ht="14.4" x14ac:dyDescent="0.3">
      <c r="A575" s="502">
        <v>1311184</v>
      </c>
      <c r="B575" s="503" t="s">
        <v>2384</v>
      </c>
      <c r="C575" s="514">
        <v>0</v>
      </c>
      <c r="D575" s="514">
        <v>0</v>
      </c>
      <c r="E575" s="514">
        <v>0</v>
      </c>
      <c r="F575" s="514">
        <v>0</v>
      </c>
      <c r="G575" s="514">
        <v>0</v>
      </c>
      <c r="H575" s="514">
        <v>0</v>
      </c>
      <c r="I575" s="514">
        <v>0</v>
      </c>
      <c r="J575" s="514">
        <v>0</v>
      </c>
      <c r="K575" s="514">
        <v>0</v>
      </c>
      <c r="L575" s="514">
        <v>0</v>
      </c>
      <c r="M575" s="514">
        <v>0</v>
      </c>
      <c r="N575" s="514">
        <v>0</v>
      </c>
      <c r="O575" s="499"/>
      <c r="P575" s="499"/>
      <c r="Q575" s="499"/>
    </row>
    <row r="576" spans="1:17" ht="14.4" x14ac:dyDescent="0.3">
      <c r="A576" s="502">
        <v>1311185</v>
      </c>
      <c r="B576" s="503" t="s">
        <v>2385</v>
      </c>
      <c r="C576" s="514">
        <v>0</v>
      </c>
      <c r="D576" s="514">
        <v>0</v>
      </c>
      <c r="E576" s="514">
        <v>0</v>
      </c>
      <c r="F576" s="514">
        <v>0</v>
      </c>
      <c r="G576" s="514">
        <v>0</v>
      </c>
      <c r="H576" s="514">
        <v>0</v>
      </c>
      <c r="I576" s="514">
        <v>0</v>
      </c>
      <c r="J576" s="514">
        <v>0</v>
      </c>
      <c r="K576" s="514">
        <v>0</v>
      </c>
      <c r="L576" s="514">
        <v>0</v>
      </c>
      <c r="M576" s="514">
        <v>0</v>
      </c>
      <c r="N576" s="514">
        <v>0</v>
      </c>
      <c r="O576" s="499"/>
      <c r="P576" s="499"/>
      <c r="Q576" s="499"/>
    </row>
    <row r="577" spans="1:17" ht="14.4" x14ac:dyDescent="0.3">
      <c r="A577" s="502">
        <v>1311186</v>
      </c>
      <c r="B577" s="503" t="s">
        <v>2386</v>
      </c>
      <c r="C577" s="514">
        <v>0</v>
      </c>
      <c r="D577" s="514">
        <v>0</v>
      </c>
      <c r="E577" s="514">
        <v>0</v>
      </c>
      <c r="F577" s="514">
        <v>0</v>
      </c>
      <c r="G577" s="514">
        <v>0</v>
      </c>
      <c r="H577" s="514">
        <v>0</v>
      </c>
      <c r="I577" s="514">
        <v>0</v>
      </c>
      <c r="J577" s="514">
        <v>0</v>
      </c>
      <c r="K577" s="514">
        <v>0</v>
      </c>
      <c r="L577" s="514">
        <v>0</v>
      </c>
      <c r="M577" s="514">
        <v>0</v>
      </c>
      <c r="N577" s="514">
        <v>0</v>
      </c>
      <c r="O577" s="499"/>
      <c r="P577" s="499"/>
      <c r="Q577" s="499"/>
    </row>
    <row r="578" spans="1:17" ht="14.4" x14ac:dyDescent="0.3">
      <c r="A578" s="502">
        <v>1311187</v>
      </c>
      <c r="B578" s="503" t="s">
        <v>2387</v>
      </c>
      <c r="C578" s="514">
        <v>0</v>
      </c>
      <c r="D578" s="514">
        <v>0</v>
      </c>
      <c r="E578" s="514">
        <v>0</v>
      </c>
      <c r="F578" s="514">
        <v>0</v>
      </c>
      <c r="G578" s="514">
        <v>0</v>
      </c>
      <c r="H578" s="514">
        <v>0</v>
      </c>
      <c r="I578" s="514">
        <v>0</v>
      </c>
      <c r="J578" s="514">
        <v>0</v>
      </c>
      <c r="K578" s="514">
        <v>0</v>
      </c>
      <c r="L578" s="514">
        <v>0</v>
      </c>
      <c r="M578" s="514">
        <v>0</v>
      </c>
      <c r="N578" s="514">
        <v>0</v>
      </c>
      <c r="O578" s="499"/>
      <c r="P578" s="499"/>
      <c r="Q578" s="499"/>
    </row>
    <row r="579" spans="1:17" ht="14.4" x14ac:dyDescent="0.3">
      <c r="A579" s="502">
        <v>1320000</v>
      </c>
      <c r="B579" s="503" t="s">
        <v>2388</v>
      </c>
      <c r="C579" s="514">
        <v>0</v>
      </c>
      <c r="D579" s="514">
        <v>0</v>
      </c>
      <c r="E579" s="514">
        <v>0</v>
      </c>
      <c r="F579" s="514">
        <v>0</v>
      </c>
      <c r="G579" s="514">
        <v>0</v>
      </c>
      <c r="H579" s="514">
        <v>0</v>
      </c>
      <c r="I579" s="514">
        <v>0</v>
      </c>
      <c r="J579" s="514">
        <v>0</v>
      </c>
      <c r="K579" s="514">
        <v>0</v>
      </c>
      <c r="L579" s="514">
        <v>0</v>
      </c>
      <c r="M579" s="514">
        <v>0</v>
      </c>
      <c r="N579" s="514">
        <v>0</v>
      </c>
      <c r="O579" s="499"/>
      <c r="P579" s="499"/>
      <c r="Q579" s="499"/>
    </row>
    <row r="580" spans="1:17" ht="14.4" x14ac:dyDescent="0.3">
      <c r="A580" s="502">
        <v>1330000</v>
      </c>
      <c r="B580" s="503" t="s">
        <v>2389</v>
      </c>
      <c r="C580" s="514">
        <v>0</v>
      </c>
      <c r="D580" s="514">
        <v>0</v>
      </c>
      <c r="E580" s="514">
        <v>0</v>
      </c>
      <c r="F580" s="514">
        <v>0</v>
      </c>
      <c r="G580" s="514">
        <v>0</v>
      </c>
      <c r="H580" s="514">
        <v>0</v>
      </c>
      <c r="I580" s="514">
        <v>0</v>
      </c>
      <c r="J580" s="514">
        <v>0</v>
      </c>
      <c r="K580" s="514">
        <v>0</v>
      </c>
      <c r="L580" s="514">
        <v>0</v>
      </c>
      <c r="M580" s="514">
        <v>0</v>
      </c>
      <c r="N580" s="514">
        <v>0</v>
      </c>
      <c r="O580" s="499"/>
      <c r="P580" s="499"/>
      <c r="Q580" s="499"/>
    </row>
    <row r="581" spans="1:17" ht="14.4" x14ac:dyDescent="0.3">
      <c r="A581" s="502">
        <v>1340000</v>
      </c>
      <c r="B581" s="503" t="s">
        <v>2390</v>
      </c>
      <c r="C581" s="514">
        <v>0</v>
      </c>
      <c r="D581" s="514">
        <v>0</v>
      </c>
      <c r="E581" s="514">
        <v>0</v>
      </c>
      <c r="F581" s="514">
        <v>0</v>
      </c>
      <c r="G581" s="514">
        <v>0</v>
      </c>
      <c r="H581" s="514">
        <v>0</v>
      </c>
      <c r="I581" s="514">
        <v>0</v>
      </c>
      <c r="J581" s="514">
        <v>0</v>
      </c>
      <c r="K581" s="514">
        <v>0</v>
      </c>
      <c r="L581" s="514">
        <v>0</v>
      </c>
      <c r="M581" s="514">
        <v>0</v>
      </c>
      <c r="N581" s="514">
        <v>0</v>
      </c>
      <c r="O581" s="499"/>
      <c r="P581" s="499"/>
      <c r="Q581" s="499"/>
    </row>
    <row r="582" spans="1:17" ht="14.4" x14ac:dyDescent="0.3">
      <c r="A582" s="502">
        <v>1340010</v>
      </c>
      <c r="B582" s="503" t="s">
        <v>2391</v>
      </c>
      <c r="C582" s="514">
        <v>0</v>
      </c>
      <c r="D582" s="514">
        <v>0</v>
      </c>
      <c r="E582" s="514">
        <v>0</v>
      </c>
      <c r="F582" s="514">
        <v>0</v>
      </c>
      <c r="G582" s="514">
        <v>0</v>
      </c>
      <c r="H582" s="514">
        <v>0</v>
      </c>
      <c r="I582" s="514">
        <v>0</v>
      </c>
      <c r="J582" s="514">
        <v>0</v>
      </c>
      <c r="K582" s="514">
        <v>0</v>
      </c>
      <c r="L582" s="514">
        <v>0</v>
      </c>
      <c r="M582" s="514">
        <v>0</v>
      </c>
      <c r="N582" s="514">
        <v>0</v>
      </c>
      <c r="O582" s="499"/>
      <c r="P582" s="499"/>
      <c r="Q582" s="499"/>
    </row>
    <row r="583" spans="1:17" ht="14.4" x14ac:dyDescent="0.3">
      <c r="A583" s="502">
        <v>1340200</v>
      </c>
      <c r="B583" s="503" t="s">
        <v>2392</v>
      </c>
      <c r="C583" s="514">
        <v>0</v>
      </c>
      <c r="D583" s="514">
        <v>0</v>
      </c>
      <c r="E583" s="514">
        <v>0</v>
      </c>
      <c r="F583" s="514">
        <v>0</v>
      </c>
      <c r="G583" s="514">
        <v>0</v>
      </c>
      <c r="H583" s="514">
        <v>0</v>
      </c>
      <c r="I583" s="514">
        <v>0</v>
      </c>
      <c r="J583" s="514">
        <v>0</v>
      </c>
      <c r="K583" s="514">
        <v>0</v>
      </c>
      <c r="L583" s="514">
        <v>0</v>
      </c>
      <c r="M583" s="514">
        <v>0</v>
      </c>
      <c r="N583" s="514">
        <v>0</v>
      </c>
      <c r="O583" s="499"/>
      <c r="P583" s="499"/>
      <c r="Q583" s="499"/>
    </row>
    <row r="584" spans="1:17" ht="14.4" x14ac:dyDescent="0.3">
      <c r="A584" s="502">
        <v>1350000</v>
      </c>
      <c r="B584" s="503" t="s">
        <v>2393</v>
      </c>
      <c r="C584" s="514">
        <v>0</v>
      </c>
      <c r="D584" s="514">
        <v>0</v>
      </c>
      <c r="E584" s="514">
        <v>0</v>
      </c>
      <c r="F584" s="514">
        <v>0</v>
      </c>
      <c r="G584" s="514">
        <v>0</v>
      </c>
      <c r="H584" s="514">
        <v>0</v>
      </c>
      <c r="I584" s="514">
        <v>0</v>
      </c>
      <c r="J584" s="514">
        <v>0</v>
      </c>
      <c r="K584" s="514">
        <v>0</v>
      </c>
      <c r="L584" s="514">
        <v>0</v>
      </c>
      <c r="M584" s="514">
        <v>0</v>
      </c>
      <c r="N584" s="514">
        <v>0</v>
      </c>
      <c r="O584" s="499"/>
      <c r="P584" s="499"/>
      <c r="Q584" s="499"/>
    </row>
    <row r="585" spans="1:17" ht="14.4" x14ac:dyDescent="0.3">
      <c r="A585" s="502">
        <v>1350001</v>
      </c>
      <c r="B585" s="503" t="s">
        <v>2394</v>
      </c>
      <c r="C585" s="514">
        <v>0</v>
      </c>
      <c r="D585" s="514">
        <v>0</v>
      </c>
      <c r="E585" s="514">
        <v>0</v>
      </c>
      <c r="F585" s="514">
        <v>0</v>
      </c>
      <c r="G585" s="514">
        <v>0</v>
      </c>
      <c r="H585" s="514">
        <v>0</v>
      </c>
      <c r="I585" s="514">
        <v>0</v>
      </c>
      <c r="J585" s="514">
        <v>0</v>
      </c>
      <c r="K585" s="514">
        <v>0</v>
      </c>
      <c r="L585" s="514">
        <v>0</v>
      </c>
      <c r="M585" s="514">
        <v>0</v>
      </c>
      <c r="N585" s="514">
        <v>0</v>
      </c>
      <c r="O585" s="499"/>
      <c r="P585" s="499"/>
      <c r="Q585" s="499"/>
    </row>
    <row r="586" spans="1:17" ht="14.4" x14ac:dyDescent="0.3">
      <c r="A586" s="502">
        <v>1360000</v>
      </c>
      <c r="B586" s="503" t="s">
        <v>2077</v>
      </c>
      <c r="C586" s="514">
        <v>0</v>
      </c>
      <c r="D586" s="514">
        <v>0</v>
      </c>
      <c r="E586" s="514">
        <v>0</v>
      </c>
      <c r="F586" s="514">
        <v>0</v>
      </c>
      <c r="G586" s="514">
        <v>0</v>
      </c>
      <c r="H586" s="514">
        <v>0</v>
      </c>
      <c r="I586" s="514">
        <v>0</v>
      </c>
      <c r="J586" s="514">
        <v>0</v>
      </c>
      <c r="K586" s="514">
        <v>0</v>
      </c>
      <c r="L586" s="514">
        <v>0</v>
      </c>
      <c r="M586" s="514">
        <v>0</v>
      </c>
      <c r="N586" s="514">
        <v>0</v>
      </c>
      <c r="O586" s="499"/>
      <c r="P586" s="499"/>
      <c r="Q586" s="499"/>
    </row>
    <row r="587" spans="1:17" ht="14.4" x14ac:dyDescent="0.3">
      <c r="A587" s="502">
        <v>1360010</v>
      </c>
      <c r="B587" s="503" t="s">
        <v>2395</v>
      </c>
      <c r="C587" s="514">
        <v>0</v>
      </c>
      <c r="D587" s="514">
        <v>0</v>
      </c>
      <c r="E587" s="514">
        <v>0</v>
      </c>
      <c r="F587" s="514">
        <v>0</v>
      </c>
      <c r="G587" s="514">
        <v>0</v>
      </c>
      <c r="H587" s="514">
        <v>0</v>
      </c>
      <c r="I587" s="514">
        <v>0</v>
      </c>
      <c r="J587" s="514">
        <v>0</v>
      </c>
      <c r="K587" s="514">
        <v>0</v>
      </c>
      <c r="L587" s="514">
        <v>0</v>
      </c>
      <c r="M587" s="514">
        <v>0</v>
      </c>
      <c r="N587" s="514">
        <v>0</v>
      </c>
      <c r="O587" s="499"/>
      <c r="P587" s="499"/>
      <c r="Q587" s="499"/>
    </row>
    <row r="588" spans="1:17" ht="14.4" x14ac:dyDescent="0.3">
      <c r="A588" s="502">
        <v>1360011</v>
      </c>
      <c r="B588" s="503" t="s">
        <v>2396</v>
      </c>
      <c r="C588" s="514">
        <v>0</v>
      </c>
      <c r="D588" s="514">
        <v>0</v>
      </c>
      <c r="E588" s="514">
        <v>0</v>
      </c>
      <c r="F588" s="514">
        <v>0</v>
      </c>
      <c r="G588" s="514">
        <v>0</v>
      </c>
      <c r="H588" s="514">
        <v>0</v>
      </c>
      <c r="I588" s="514">
        <v>0</v>
      </c>
      <c r="J588" s="514">
        <v>0</v>
      </c>
      <c r="K588" s="514">
        <v>0</v>
      </c>
      <c r="L588" s="514">
        <v>0</v>
      </c>
      <c r="M588" s="514">
        <v>0</v>
      </c>
      <c r="N588" s="514">
        <v>0</v>
      </c>
      <c r="O588" s="499"/>
      <c r="P588" s="499"/>
      <c r="Q588" s="499"/>
    </row>
    <row r="589" spans="1:17" ht="14.4" x14ac:dyDescent="0.3">
      <c r="A589" s="502">
        <v>1360020</v>
      </c>
      <c r="B589" s="503" t="s">
        <v>2397</v>
      </c>
      <c r="C589" s="514">
        <v>0</v>
      </c>
      <c r="D589" s="514">
        <v>0</v>
      </c>
      <c r="E589" s="514">
        <v>0</v>
      </c>
      <c r="F589" s="514">
        <v>0</v>
      </c>
      <c r="G589" s="514">
        <v>0</v>
      </c>
      <c r="H589" s="514">
        <v>0</v>
      </c>
      <c r="I589" s="514">
        <v>0</v>
      </c>
      <c r="J589" s="514">
        <v>0</v>
      </c>
      <c r="K589" s="514">
        <v>0</v>
      </c>
      <c r="L589" s="514">
        <v>0</v>
      </c>
      <c r="M589" s="514">
        <v>0</v>
      </c>
      <c r="N589" s="514">
        <v>0</v>
      </c>
      <c r="O589" s="499"/>
      <c r="P589" s="499"/>
      <c r="Q589" s="499"/>
    </row>
    <row r="590" spans="1:17" ht="14.4" x14ac:dyDescent="0.3">
      <c r="A590" s="502">
        <v>1410000</v>
      </c>
      <c r="B590" s="503" t="s">
        <v>2077</v>
      </c>
      <c r="C590" s="514">
        <v>0</v>
      </c>
      <c r="D590" s="514">
        <v>0</v>
      </c>
      <c r="E590" s="514">
        <v>0</v>
      </c>
      <c r="F590" s="514">
        <v>0</v>
      </c>
      <c r="G590" s="514">
        <v>0</v>
      </c>
      <c r="H590" s="514">
        <v>0</v>
      </c>
      <c r="I590" s="514">
        <v>0</v>
      </c>
      <c r="J590" s="514">
        <v>0</v>
      </c>
      <c r="K590" s="514">
        <v>0</v>
      </c>
      <c r="L590" s="514">
        <v>0</v>
      </c>
      <c r="M590" s="514">
        <v>0</v>
      </c>
      <c r="N590" s="514">
        <v>0</v>
      </c>
      <c r="O590" s="499"/>
      <c r="P590" s="499"/>
      <c r="Q590" s="499"/>
    </row>
    <row r="591" spans="1:17" ht="14.4" x14ac:dyDescent="0.3">
      <c r="A591" s="502">
        <v>1410100</v>
      </c>
      <c r="B591" s="503" t="s">
        <v>2398</v>
      </c>
      <c r="C591" s="514">
        <v>0</v>
      </c>
      <c r="D591" s="514">
        <v>0</v>
      </c>
      <c r="E591" s="514">
        <v>0</v>
      </c>
      <c r="F591" s="514">
        <v>0</v>
      </c>
      <c r="G591" s="514">
        <v>0</v>
      </c>
      <c r="H591" s="514">
        <v>0</v>
      </c>
      <c r="I591" s="514">
        <v>0</v>
      </c>
      <c r="J591" s="514">
        <v>0</v>
      </c>
      <c r="K591" s="514">
        <v>0</v>
      </c>
      <c r="L591" s="514">
        <v>0</v>
      </c>
      <c r="M591" s="514">
        <v>0</v>
      </c>
      <c r="N591" s="514">
        <v>0</v>
      </c>
      <c r="O591" s="499"/>
      <c r="P591" s="499"/>
      <c r="Q591" s="499"/>
    </row>
    <row r="592" spans="1:17" ht="14.4" x14ac:dyDescent="0.3">
      <c r="A592" s="502">
        <v>1410200</v>
      </c>
      <c r="B592" s="503" t="s">
        <v>2399</v>
      </c>
      <c r="C592" s="514">
        <v>0</v>
      </c>
      <c r="D592" s="514">
        <v>0</v>
      </c>
      <c r="E592" s="514">
        <v>0</v>
      </c>
      <c r="F592" s="514">
        <v>0</v>
      </c>
      <c r="G592" s="514">
        <v>0</v>
      </c>
      <c r="H592" s="514">
        <v>0</v>
      </c>
      <c r="I592" s="514">
        <v>0</v>
      </c>
      <c r="J592" s="514">
        <v>0</v>
      </c>
      <c r="K592" s="514">
        <v>0</v>
      </c>
      <c r="L592" s="514">
        <v>0</v>
      </c>
      <c r="M592" s="514">
        <v>0</v>
      </c>
      <c r="N592" s="514">
        <v>0</v>
      </c>
      <c r="O592" s="499"/>
      <c r="P592" s="499"/>
      <c r="Q592" s="499"/>
    </row>
    <row r="593" spans="1:17" ht="14.4" x14ac:dyDescent="0.3">
      <c r="A593" s="502">
        <v>1420000</v>
      </c>
      <c r="B593" s="503" t="s">
        <v>2077</v>
      </c>
      <c r="C593" s="514">
        <v>0</v>
      </c>
      <c r="D593" s="514">
        <v>0</v>
      </c>
      <c r="E593" s="514">
        <v>0</v>
      </c>
      <c r="F593" s="514">
        <v>0</v>
      </c>
      <c r="G593" s="514">
        <v>0</v>
      </c>
      <c r="H593" s="514">
        <v>0</v>
      </c>
      <c r="I593" s="514">
        <v>0</v>
      </c>
      <c r="J593" s="514">
        <v>0</v>
      </c>
      <c r="K593" s="514">
        <v>0</v>
      </c>
      <c r="L593" s="514">
        <v>0</v>
      </c>
      <c r="M593" s="514">
        <v>0</v>
      </c>
      <c r="N593" s="514">
        <v>0</v>
      </c>
      <c r="O593" s="499"/>
      <c r="P593" s="499"/>
      <c r="Q593" s="499"/>
    </row>
    <row r="594" spans="1:17" ht="14.4" x14ac:dyDescent="0.3">
      <c r="A594" s="502">
        <v>1420400</v>
      </c>
      <c r="B594" s="503" t="s">
        <v>2400</v>
      </c>
      <c r="C594" s="514">
        <v>173602171.25</v>
      </c>
      <c r="D594" s="514">
        <v>165629062.44999999</v>
      </c>
      <c r="E594" s="514">
        <v>140671978.44</v>
      </c>
      <c r="F594" s="514">
        <v>155572097.61000001</v>
      </c>
      <c r="G594" s="514">
        <v>164516423.66</v>
      </c>
      <c r="H594" s="514">
        <v>189410799.91</v>
      </c>
      <c r="I594" s="514">
        <v>211073081.72999999</v>
      </c>
      <c r="J594" s="514">
        <v>192113979.36000001</v>
      </c>
      <c r="K594" s="514">
        <v>215333207.77000001</v>
      </c>
      <c r="L594" s="514">
        <v>191456644.86000001</v>
      </c>
      <c r="M594" s="514">
        <v>171735885.33000001</v>
      </c>
      <c r="N594" s="514">
        <v>159437661.78999999</v>
      </c>
      <c r="O594" s="499"/>
      <c r="P594" s="499"/>
      <c r="Q594" s="499"/>
    </row>
    <row r="595" spans="1:17" ht="14.4" x14ac:dyDescent="0.3">
      <c r="A595" s="502">
        <v>1420401</v>
      </c>
      <c r="B595" s="503" t="s">
        <v>2401</v>
      </c>
      <c r="C595" s="514">
        <v>0</v>
      </c>
      <c r="D595" s="514">
        <v>0</v>
      </c>
      <c r="E595" s="514">
        <v>0</v>
      </c>
      <c r="F595" s="514">
        <v>0</v>
      </c>
      <c r="G595" s="514">
        <v>0</v>
      </c>
      <c r="H595" s="514">
        <v>0</v>
      </c>
      <c r="I595" s="514">
        <v>0</v>
      </c>
      <c r="J595" s="514">
        <v>0</v>
      </c>
      <c r="K595" s="514">
        <v>0</v>
      </c>
      <c r="L595" s="514">
        <v>0</v>
      </c>
      <c r="M595" s="514">
        <v>0</v>
      </c>
      <c r="N595" s="514">
        <v>0</v>
      </c>
      <c r="O595" s="499"/>
      <c r="P595" s="499"/>
      <c r="Q595" s="499"/>
    </row>
    <row r="596" spans="1:17" ht="14.4" x14ac:dyDescent="0.3">
      <c r="A596" s="502">
        <v>1420420</v>
      </c>
      <c r="B596" s="503" t="s">
        <v>2402</v>
      </c>
      <c r="C596" s="514">
        <v>0</v>
      </c>
      <c r="D596" s="514">
        <v>0</v>
      </c>
      <c r="E596" s="514">
        <v>0</v>
      </c>
      <c r="F596" s="514">
        <v>0</v>
      </c>
      <c r="G596" s="514">
        <v>0</v>
      </c>
      <c r="H596" s="514">
        <v>0</v>
      </c>
      <c r="I596" s="514">
        <v>0</v>
      </c>
      <c r="J596" s="514">
        <v>0</v>
      </c>
      <c r="K596" s="514">
        <v>0</v>
      </c>
      <c r="L596" s="514">
        <v>0</v>
      </c>
      <c r="M596" s="514">
        <v>0</v>
      </c>
      <c r="N596" s="514">
        <v>0</v>
      </c>
      <c r="O596" s="499"/>
      <c r="P596" s="499"/>
      <c r="Q596" s="499"/>
    </row>
    <row r="597" spans="1:17" ht="14.4" x14ac:dyDescent="0.3">
      <c r="A597" s="502">
        <v>1420421</v>
      </c>
      <c r="B597" s="503" t="s">
        <v>2403</v>
      </c>
      <c r="C597" s="514">
        <v>0</v>
      </c>
      <c r="D597" s="514">
        <v>0</v>
      </c>
      <c r="E597" s="514">
        <v>0</v>
      </c>
      <c r="F597" s="514">
        <v>0</v>
      </c>
      <c r="G597" s="514">
        <v>0</v>
      </c>
      <c r="H597" s="514">
        <v>0</v>
      </c>
      <c r="I597" s="514">
        <v>0</v>
      </c>
      <c r="J597" s="514">
        <v>0</v>
      </c>
      <c r="K597" s="514">
        <v>0</v>
      </c>
      <c r="L597" s="514">
        <v>0</v>
      </c>
      <c r="M597" s="514">
        <v>0</v>
      </c>
      <c r="N597" s="514">
        <v>0</v>
      </c>
      <c r="O597" s="499"/>
      <c r="P597" s="499"/>
      <c r="Q597" s="499"/>
    </row>
    <row r="598" spans="1:17" ht="14.4" x14ac:dyDescent="0.3">
      <c r="A598" s="502">
        <v>1420500</v>
      </c>
      <c r="B598" s="503" t="s">
        <v>2404</v>
      </c>
      <c r="C598" s="514">
        <v>0</v>
      </c>
      <c r="D598" s="514">
        <v>0</v>
      </c>
      <c r="E598" s="514">
        <v>0</v>
      </c>
      <c r="F598" s="514">
        <v>0</v>
      </c>
      <c r="G598" s="514">
        <v>0</v>
      </c>
      <c r="H598" s="514">
        <v>0</v>
      </c>
      <c r="I598" s="514">
        <v>0</v>
      </c>
      <c r="J598" s="514">
        <v>0</v>
      </c>
      <c r="K598" s="514">
        <v>0</v>
      </c>
      <c r="L598" s="514">
        <v>0</v>
      </c>
      <c r="M598" s="514">
        <v>0</v>
      </c>
      <c r="N598" s="514">
        <v>0</v>
      </c>
      <c r="O598" s="499"/>
      <c r="P598" s="499"/>
      <c r="Q598" s="499"/>
    </row>
    <row r="599" spans="1:17" ht="14.4" x14ac:dyDescent="0.3">
      <c r="A599" s="502">
        <v>1420505</v>
      </c>
      <c r="B599" s="503" t="s">
        <v>2077</v>
      </c>
      <c r="C599" s="514">
        <v>0</v>
      </c>
      <c r="D599" s="514">
        <v>0</v>
      </c>
      <c r="E599" s="514">
        <v>0</v>
      </c>
      <c r="F599" s="514">
        <v>0</v>
      </c>
      <c r="G599" s="514">
        <v>0</v>
      </c>
      <c r="H599" s="514">
        <v>0</v>
      </c>
      <c r="I599" s="514">
        <v>0</v>
      </c>
      <c r="J599" s="514">
        <v>0</v>
      </c>
      <c r="K599" s="514">
        <v>0</v>
      </c>
      <c r="L599" s="514">
        <v>0</v>
      </c>
      <c r="M599" s="514">
        <v>0</v>
      </c>
      <c r="N599" s="514">
        <v>0</v>
      </c>
      <c r="O599" s="499"/>
      <c r="P599" s="499"/>
      <c r="Q599" s="499"/>
    </row>
    <row r="600" spans="1:17" ht="14.4" x14ac:dyDescent="0.3">
      <c r="A600" s="502">
        <v>1420510</v>
      </c>
      <c r="B600" s="503" t="s">
        <v>2405</v>
      </c>
      <c r="C600" s="514">
        <v>0</v>
      </c>
      <c r="D600" s="514">
        <v>0</v>
      </c>
      <c r="E600" s="514">
        <v>0</v>
      </c>
      <c r="F600" s="514">
        <v>0</v>
      </c>
      <c r="G600" s="514">
        <v>0</v>
      </c>
      <c r="H600" s="514">
        <v>0</v>
      </c>
      <c r="I600" s="514">
        <v>0</v>
      </c>
      <c r="J600" s="514">
        <v>0</v>
      </c>
      <c r="K600" s="514">
        <v>0</v>
      </c>
      <c r="L600" s="514">
        <v>0</v>
      </c>
      <c r="M600" s="514">
        <v>0</v>
      </c>
      <c r="N600" s="514">
        <v>0</v>
      </c>
      <c r="O600" s="499"/>
      <c r="P600" s="499"/>
      <c r="Q600" s="499"/>
    </row>
    <row r="601" spans="1:17" ht="14.4" x14ac:dyDescent="0.3">
      <c r="A601" s="502">
        <v>1420520</v>
      </c>
      <c r="B601" s="503" t="s">
        <v>2406</v>
      </c>
      <c r="C601" s="514">
        <v>0</v>
      </c>
      <c r="D601" s="514">
        <v>0</v>
      </c>
      <c r="E601" s="514">
        <v>0</v>
      </c>
      <c r="F601" s="514">
        <v>0</v>
      </c>
      <c r="G601" s="514">
        <v>0</v>
      </c>
      <c r="H601" s="514">
        <v>0</v>
      </c>
      <c r="I601" s="514">
        <v>0</v>
      </c>
      <c r="J601" s="514">
        <v>0</v>
      </c>
      <c r="K601" s="514">
        <v>0</v>
      </c>
      <c r="L601" s="514">
        <v>0</v>
      </c>
      <c r="M601" s="514">
        <v>0</v>
      </c>
      <c r="N601" s="514">
        <v>0</v>
      </c>
      <c r="O601" s="499"/>
      <c r="P601" s="499"/>
      <c r="Q601" s="499"/>
    </row>
    <row r="602" spans="1:17" ht="14.4" x14ac:dyDescent="0.3">
      <c r="A602" s="502">
        <v>1420530</v>
      </c>
      <c r="B602" s="503" t="s">
        <v>2407</v>
      </c>
      <c r="C602" s="514">
        <v>0</v>
      </c>
      <c r="D602" s="514">
        <v>0</v>
      </c>
      <c r="E602" s="514">
        <v>0</v>
      </c>
      <c r="F602" s="514">
        <v>0</v>
      </c>
      <c r="G602" s="514">
        <v>0</v>
      </c>
      <c r="H602" s="514">
        <v>0</v>
      </c>
      <c r="I602" s="514">
        <v>0</v>
      </c>
      <c r="J602" s="514">
        <v>0</v>
      </c>
      <c r="K602" s="514">
        <v>0</v>
      </c>
      <c r="L602" s="514">
        <v>0</v>
      </c>
      <c r="M602" s="514">
        <v>0</v>
      </c>
      <c r="N602" s="514">
        <v>0</v>
      </c>
      <c r="O602" s="499"/>
      <c r="P602" s="499"/>
      <c r="Q602" s="499"/>
    </row>
    <row r="603" spans="1:17" ht="14.4" x14ac:dyDescent="0.3">
      <c r="A603" s="502">
        <v>1420540</v>
      </c>
      <c r="B603" s="503" t="s">
        <v>2408</v>
      </c>
      <c r="C603" s="514">
        <v>0</v>
      </c>
      <c r="D603" s="514">
        <v>0</v>
      </c>
      <c r="E603" s="514">
        <v>0</v>
      </c>
      <c r="F603" s="514">
        <v>0</v>
      </c>
      <c r="G603" s="514">
        <v>0</v>
      </c>
      <c r="H603" s="514">
        <v>0</v>
      </c>
      <c r="I603" s="514">
        <v>0</v>
      </c>
      <c r="J603" s="514">
        <v>0</v>
      </c>
      <c r="K603" s="514">
        <v>0</v>
      </c>
      <c r="L603" s="514">
        <v>0</v>
      </c>
      <c r="M603" s="514">
        <v>0</v>
      </c>
      <c r="N603" s="514">
        <v>0</v>
      </c>
      <c r="O603" s="499"/>
      <c r="P603" s="499"/>
      <c r="Q603" s="499"/>
    </row>
    <row r="604" spans="1:17" ht="14.4" x14ac:dyDescent="0.3">
      <c r="A604" s="502">
        <v>1420600</v>
      </c>
      <c r="B604" s="503" t="s">
        <v>2409</v>
      </c>
      <c r="C604" s="514">
        <v>0</v>
      </c>
      <c r="D604" s="514">
        <v>0</v>
      </c>
      <c r="E604" s="514">
        <v>0</v>
      </c>
      <c r="F604" s="514">
        <v>0</v>
      </c>
      <c r="G604" s="514">
        <v>0</v>
      </c>
      <c r="H604" s="514">
        <v>0</v>
      </c>
      <c r="I604" s="514">
        <v>0</v>
      </c>
      <c r="J604" s="514">
        <v>0</v>
      </c>
      <c r="K604" s="514">
        <v>0</v>
      </c>
      <c r="L604" s="514">
        <v>0</v>
      </c>
      <c r="M604" s="514">
        <v>0</v>
      </c>
      <c r="N604" s="514">
        <v>0</v>
      </c>
      <c r="O604" s="499"/>
      <c r="P604" s="499"/>
      <c r="Q604" s="499"/>
    </row>
    <row r="605" spans="1:17" ht="14.4" x14ac:dyDescent="0.3">
      <c r="A605" s="502">
        <v>1420601</v>
      </c>
      <c r="B605" s="503" t="s">
        <v>2410</v>
      </c>
      <c r="C605" s="514">
        <v>0</v>
      </c>
      <c r="D605" s="514">
        <v>0</v>
      </c>
      <c r="E605" s="514">
        <v>0</v>
      </c>
      <c r="F605" s="514">
        <v>0</v>
      </c>
      <c r="G605" s="514">
        <v>0</v>
      </c>
      <c r="H605" s="514">
        <v>0</v>
      </c>
      <c r="I605" s="514">
        <v>0</v>
      </c>
      <c r="J605" s="514">
        <v>0</v>
      </c>
      <c r="K605" s="514">
        <v>0</v>
      </c>
      <c r="L605" s="514">
        <v>0</v>
      </c>
      <c r="M605" s="514">
        <v>0</v>
      </c>
      <c r="N605" s="514">
        <v>0</v>
      </c>
      <c r="O605" s="499"/>
      <c r="P605" s="499"/>
      <c r="Q605" s="499"/>
    </row>
    <row r="606" spans="1:17" ht="14.4" x14ac:dyDescent="0.3">
      <c r="A606" s="502">
        <v>1420800</v>
      </c>
      <c r="B606" s="503" t="s">
        <v>2411</v>
      </c>
      <c r="C606" s="514">
        <v>0</v>
      </c>
      <c r="D606" s="514">
        <v>0</v>
      </c>
      <c r="E606" s="514">
        <v>0</v>
      </c>
      <c r="F606" s="514">
        <v>0</v>
      </c>
      <c r="G606" s="514">
        <v>0</v>
      </c>
      <c r="H606" s="514">
        <v>0</v>
      </c>
      <c r="I606" s="514">
        <v>0</v>
      </c>
      <c r="J606" s="514">
        <v>0</v>
      </c>
      <c r="K606" s="514">
        <v>0</v>
      </c>
      <c r="L606" s="514">
        <v>0</v>
      </c>
      <c r="M606" s="514">
        <v>0</v>
      </c>
      <c r="N606" s="514">
        <v>0</v>
      </c>
      <c r="O606" s="499"/>
      <c r="P606" s="499"/>
      <c r="Q606" s="499"/>
    </row>
    <row r="607" spans="1:17" ht="14.4" x14ac:dyDescent="0.3">
      <c r="A607" s="502">
        <v>1420801</v>
      </c>
      <c r="B607" s="503" t="s">
        <v>2412</v>
      </c>
      <c r="C607" s="514">
        <v>0</v>
      </c>
      <c r="D607" s="514">
        <v>0</v>
      </c>
      <c r="E607" s="514">
        <v>0</v>
      </c>
      <c r="F607" s="514">
        <v>0</v>
      </c>
      <c r="G607" s="514">
        <v>0</v>
      </c>
      <c r="H607" s="514">
        <v>0</v>
      </c>
      <c r="I607" s="514">
        <v>0</v>
      </c>
      <c r="J607" s="514">
        <v>0</v>
      </c>
      <c r="K607" s="514">
        <v>0</v>
      </c>
      <c r="L607" s="514">
        <v>0</v>
      </c>
      <c r="M607" s="514">
        <v>0</v>
      </c>
      <c r="N607" s="514">
        <v>0</v>
      </c>
      <c r="O607" s="499"/>
      <c r="P607" s="499"/>
      <c r="Q607" s="499"/>
    </row>
    <row r="608" spans="1:17" ht="14.4" x14ac:dyDescent="0.3">
      <c r="A608" s="502">
        <v>1430000</v>
      </c>
      <c r="B608" s="503" t="s">
        <v>2413</v>
      </c>
      <c r="C608" s="514">
        <v>3300000</v>
      </c>
      <c r="D608" s="514">
        <v>3300000</v>
      </c>
      <c r="E608" s="514">
        <v>3300000</v>
      </c>
      <c r="F608" s="514">
        <v>3300000</v>
      </c>
      <c r="G608" s="514">
        <v>3300000</v>
      </c>
      <c r="H608" s="514">
        <v>3300000</v>
      </c>
      <c r="I608" s="514">
        <v>3300000</v>
      </c>
      <c r="J608" s="514">
        <v>3300000</v>
      </c>
      <c r="K608" s="514">
        <v>3300000</v>
      </c>
      <c r="L608" s="514">
        <v>3300000</v>
      </c>
      <c r="M608" s="514">
        <v>3300000</v>
      </c>
      <c r="N608" s="514">
        <v>3300000</v>
      </c>
      <c r="O608" s="499"/>
      <c r="P608" s="499"/>
      <c r="Q608" s="499"/>
    </row>
    <row r="609" spans="1:17" ht="14.4" x14ac:dyDescent="0.3">
      <c r="A609" s="502">
        <v>1430001</v>
      </c>
      <c r="B609" s="503" t="s">
        <v>2414</v>
      </c>
      <c r="C609" s="514">
        <v>4121305.95</v>
      </c>
      <c r="D609" s="514">
        <v>4134496.75</v>
      </c>
      <c r="E609" s="514">
        <v>4102617.35</v>
      </c>
      <c r="F609" s="514">
        <v>4049947.95</v>
      </c>
      <c r="G609" s="514">
        <v>4074767.55</v>
      </c>
      <c r="H609" s="514">
        <v>4008363.75</v>
      </c>
      <c r="I609" s="514">
        <v>4022322.95</v>
      </c>
      <c r="J609" s="514">
        <v>4026976.35</v>
      </c>
      <c r="K609" s="514">
        <v>4067350.95</v>
      </c>
      <c r="L609" s="514">
        <v>4069924.15</v>
      </c>
      <c r="M609" s="514">
        <v>4110339.95</v>
      </c>
      <c r="N609" s="514">
        <v>4080411.95</v>
      </c>
      <c r="O609" s="499"/>
      <c r="P609" s="499"/>
      <c r="Q609" s="499"/>
    </row>
    <row r="610" spans="1:17" ht="14.4" x14ac:dyDescent="0.3">
      <c r="A610" s="502">
        <v>1430002</v>
      </c>
      <c r="B610" s="503" t="s">
        <v>2415</v>
      </c>
      <c r="C610" s="514">
        <v>0</v>
      </c>
      <c r="D610" s="514">
        <v>0</v>
      </c>
      <c r="E610" s="514">
        <v>0</v>
      </c>
      <c r="F610" s="514">
        <v>0</v>
      </c>
      <c r="G610" s="514">
        <v>0</v>
      </c>
      <c r="H610" s="514">
        <v>0</v>
      </c>
      <c r="I610" s="514">
        <v>0</v>
      </c>
      <c r="J610" s="514">
        <v>0</v>
      </c>
      <c r="K610" s="514">
        <v>0</v>
      </c>
      <c r="L610" s="514">
        <v>0</v>
      </c>
      <c r="M610" s="514">
        <v>0</v>
      </c>
      <c r="N610" s="514">
        <v>0</v>
      </c>
      <c r="O610" s="499"/>
      <c r="P610" s="499"/>
      <c r="Q610" s="499"/>
    </row>
    <row r="611" spans="1:17" ht="14.4" x14ac:dyDescent="0.3">
      <c r="A611" s="502">
        <v>1430003</v>
      </c>
      <c r="B611" s="503" t="s">
        <v>2416</v>
      </c>
      <c r="C611" s="514">
        <v>0</v>
      </c>
      <c r="D611" s="514">
        <v>0</v>
      </c>
      <c r="E611" s="514">
        <v>0</v>
      </c>
      <c r="F611" s="514">
        <v>0</v>
      </c>
      <c r="G611" s="514">
        <v>0</v>
      </c>
      <c r="H611" s="514">
        <v>0</v>
      </c>
      <c r="I611" s="514">
        <v>0</v>
      </c>
      <c r="J611" s="514">
        <v>0</v>
      </c>
      <c r="K611" s="514">
        <v>0</v>
      </c>
      <c r="L611" s="514">
        <v>0</v>
      </c>
      <c r="M611" s="514">
        <v>0</v>
      </c>
      <c r="N611" s="514">
        <v>0</v>
      </c>
      <c r="O611" s="499"/>
      <c r="P611" s="499"/>
      <c r="Q611" s="499"/>
    </row>
    <row r="612" spans="1:17" ht="14.4" x14ac:dyDescent="0.3">
      <c r="A612" s="502">
        <v>1430005</v>
      </c>
      <c r="B612" s="503" t="s">
        <v>2417</v>
      </c>
      <c r="C612" s="514">
        <v>0</v>
      </c>
      <c r="D612" s="514">
        <v>0</v>
      </c>
      <c r="E612" s="514">
        <v>0</v>
      </c>
      <c r="F612" s="514">
        <v>0</v>
      </c>
      <c r="G612" s="514">
        <v>0</v>
      </c>
      <c r="H612" s="514">
        <v>0</v>
      </c>
      <c r="I612" s="514">
        <v>0</v>
      </c>
      <c r="J612" s="514">
        <v>0</v>
      </c>
      <c r="K612" s="514">
        <v>0</v>
      </c>
      <c r="L612" s="514">
        <v>0</v>
      </c>
      <c r="M612" s="514">
        <v>0</v>
      </c>
      <c r="N612" s="514">
        <v>0</v>
      </c>
      <c r="O612" s="499"/>
      <c r="P612" s="499"/>
      <c r="Q612" s="499"/>
    </row>
    <row r="613" spans="1:17" ht="14.4" x14ac:dyDescent="0.3">
      <c r="A613" s="502">
        <v>1430010</v>
      </c>
      <c r="B613" s="503" t="s">
        <v>2418</v>
      </c>
      <c r="C613" s="514">
        <v>0</v>
      </c>
      <c r="D613" s="514">
        <v>0</v>
      </c>
      <c r="E613" s="514">
        <v>0</v>
      </c>
      <c r="F613" s="514">
        <v>0</v>
      </c>
      <c r="G613" s="514">
        <v>0</v>
      </c>
      <c r="H613" s="514">
        <v>0</v>
      </c>
      <c r="I613" s="514">
        <v>0</v>
      </c>
      <c r="J613" s="514">
        <v>0</v>
      </c>
      <c r="K613" s="514">
        <v>0</v>
      </c>
      <c r="L613" s="514">
        <v>0</v>
      </c>
      <c r="M613" s="514">
        <v>0</v>
      </c>
      <c r="N613" s="514">
        <v>0</v>
      </c>
      <c r="O613" s="499"/>
      <c r="P613" s="499"/>
      <c r="Q613" s="499"/>
    </row>
    <row r="614" spans="1:17" ht="14.4" x14ac:dyDescent="0.3">
      <c r="A614" s="502">
        <v>1430019</v>
      </c>
      <c r="B614" s="503" t="s">
        <v>2419</v>
      </c>
      <c r="C614" s="514">
        <v>0</v>
      </c>
      <c r="D614" s="514">
        <v>0</v>
      </c>
      <c r="E614" s="514">
        <v>0</v>
      </c>
      <c r="F614" s="514">
        <v>0</v>
      </c>
      <c r="G614" s="514">
        <v>0</v>
      </c>
      <c r="H614" s="514">
        <v>0</v>
      </c>
      <c r="I614" s="514">
        <v>0</v>
      </c>
      <c r="J614" s="514">
        <v>0</v>
      </c>
      <c r="K614" s="514">
        <v>0</v>
      </c>
      <c r="L614" s="514">
        <v>0</v>
      </c>
      <c r="M614" s="514">
        <v>0</v>
      </c>
      <c r="N614" s="514">
        <v>0</v>
      </c>
      <c r="O614" s="499"/>
      <c r="P614" s="499"/>
      <c r="Q614" s="499"/>
    </row>
    <row r="615" spans="1:17" ht="14.4" x14ac:dyDescent="0.3">
      <c r="A615" s="502">
        <v>1430020</v>
      </c>
      <c r="B615" s="503" t="s">
        <v>2420</v>
      </c>
      <c r="C615" s="514">
        <v>0</v>
      </c>
      <c r="D615" s="514">
        <v>0</v>
      </c>
      <c r="E615" s="514">
        <v>0</v>
      </c>
      <c r="F615" s="514">
        <v>0</v>
      </c>
      <c r="G615" s="514">
        <v>0</v>
      </c>
      <c r="H615" s="514">
        <v>0</v>
      </c>
      <c r="I615" s="514">
        <v>0</v>
      </c>
      <c r="J615" s="514">
        <v>0</v>
      </c>
      <c r="K615" s="514">
        <v>0</v>
      </c>
      <c r="L615" s="514">
        <v>0</v>
      </c>
      <c r="M615" s="514">
        <v>0</v>
      </c>
      <c r="N615" s="514">
        <v>0</v>
      </c>
      <c r="O615" s="499"/>
      <c r="P615" s="499"/>
      <c r="Q615" s="499"/>
    </row>
    <row r="616" spans="1:17" ht="14.4" x14ac:dyDescent="0.3">
      <c r="A616" s="502">
        <v>1430021</v>
      </c>
      <c r="B616" s="503" t="s">
        <v>2421</v>
      </c>
      <c r="C616" s="514">
        <v>0</v>
      </c>
      <c r="D616" s="514">
        <v>0</v>
      </c>
      <c r="E616" s="514">
        <v>0</v>
      </c>
      <c r="F616" s="514">
        <v>0</v>
      </c>
      <c r="G616" s="514">
        <v>0</v>
      </c>
      <c r="H616" s="514">
        <v>0</v>
      </c>
      <c r="I616" s="514">
        <v>0</v>
      </c>
      <c r="J616" s="514">
        <v>0</v>
      </c>
      <c r="K616" s="514">
        <v>0</v>
      </c>
      <c r="L616" s="514">
        <v>0</v>
      </c>
      <c r="M616" s="514">
        <v>0</v>
      </c>
      <c r="N616" s="514">
        <v>0</v>
      </c>
      <c r="O616" s="499"/>
      <c r="P616" s="499"/>
      <c r="Q616" s="499"/>
    </row>
    <row r="617" spans="1:17" ht="14.4" x14ac:dyDescent="0.3">
      <c r="A617" s="502">
        <v>1430030</v>
      </c>
      <c r="B617" s="503" t="s">
        <v>2422</v>
      </c>
      <c r="C617" s="514">
        <v>0</v>
      </c>
      <c r="D617" s="514">
        <v>0</v>
      </c>
      <c r="E617" s="514">
        <v>0</v>
      </c>
      <c r="F617" s="514">
        <v>0</v>
      </c>
      <c r="G617" s="514">
        <v>0</v>
      </c>
      <c r="H617" s="514">
        <v>0</v>
      </c>
      <c r="I617" s="514">
        <v>0</v>
      </c>
      <c r="J617" s="514">
        <v>0</v>
      </c>
      <c r="K617" s="514">
        <v>0</v>
      </c>
      <c r="L617" s="514">
        <v>0</v>
      </c>
      <c r="M617" s="514">
        <v>0</v>
      </c>
      <c r="N617" s="514">
        <v>0</v>
      </c>
      <c r="O617" s="499"/>
      <c r="P617" s="499"/>
      <c r="Q617" s="499"/>
    </row>
    <row r="618" spans="1:17" ht="14.4" x14ac:dyDescent="0.3">
      <c r="A618" s="502">
        <v>1430031</v>
      </c>
      <c r="B618" s="503" t="s">
        <v>2423</v>
      </c>
      <c r="C618" s="514">
        <v>0</v>
      </c>
      <c r="D618" s="514">
        <v>0</v>
      </c>
      <c r="E618" s="514">
        <v>0</v>
      </c>
      <c r="F618" s="514">
        <v>0</v>
      </c>
      <c r="G618" s="514">
        <v>0</v>
      </c>
      <c r="H618" s="514">
        <v>0</v>
      </c>
      <c r="I618" s="514">
        <v>0</v>
      </c>
      <c r="J618" s="514">
        <v>0</v>
      </c>
      <c r="K618" s="514">
        <v>0</v>
      </c>
      <c r="L618" s="514">
        <v>0</v>
      </c>
      <c r="M618" s="514">
        <v>0</v>
      </c>
      <c r="N618" s="514">
        <v>0</v>
      </c>
      <c r="O618" s="499"/>
      <c r="P618" s="499"/>
      <c r="Q618" s="499"/>
    </row>
    <row r="619" spans="1:17" ht="14.4" x14ac:dyDescent="0.3">
      <c r="A619" s="502">
        <v>1430035</v>
      </c>
      <c r="B619" s="503" t="s">
        <v>2424</v>
      </c>
      <c r="C619" s="514">
        <v>0</v>
      </c>
      <c r="D619" s="514">
        <v>0</v>
      </c>
      <c r="E619" s="514">
        <v>0</v>
      </c>
      <c r="F619" s="514">
        <v>0</v>
      </c>
      <c r="G619" s="514">
        <v>0</v>
      </c>
      <c r="H619" s="514">
        <v>0</v>
      </c>
      <c r="I619" s="514">
        <v>0</v>
      </c>
      <c r="J619" s="514">
        <v>0</v>
      </c>
      <c r="K619" s="514">
        <v>0</v>
      </c>
      <c r="L619" s="514">
        <v>0</v>
      </c>
      <c r="M619" s="514">
        <v>0</v>
      </c>
      <c r="N619" s="514">
        <v>0</v>
      </c>
      <c r="O619" s="499"/>
      <c r="P619" s="499"/>
      <c r="Q619" s="499"/>
    </row>
    <row r="620" spans="1:17" ht="14.4" x14ac:dyDescent="0.3">
      <c r="A620" s="502">
        <v>1430036</v>
      </c>
      <c r="B620" s="503" t="s">
        <v>2425</v>
      </c>
      <c r="C620" s="514">
        <v>0</v>
      </c>
      <c r="D620" s="514">
        <v>0</v>
      </c>
      <c r="E620" s="514">
        <v>0</v>
      </c>
      <c r="F620" s="514">
        <v>0</v>
      </c>
      <c r="G620" s="514">
        <v>0</v>
      </c>
      <c r="H620" s="514">
        <v>0</v>
      </c>
      <c r="I620" s="514">
        <v>0</v>
      </c>
      <c r="J620" s="514">
        <v>0</v>
      </c>
      <c r="K620" s="514">
        <v>0</v>
      </c>
      <c r="L620" s="514">
        <v>0</v>
      </c>
      <c r="M620" s="514">
        <v>0</v>
      </c>
      <c r="N620" s="514">
        <v>0</v>
      </c>
      <c r="O620" s="499"/>
      <c r="P620" s="499"/>
      <c r="Q620" s="499"/>
    </row>
    <row r="621" spans="1:17" ht="14.4" x14ac:dyDescent="0.3">
      <c r="A621" s="502">
        <v>1430040</v>
      </c>
      <c r="B621" s="503" t="s">
        <v>2426</v>
      </c>
      <c r="C621" s="514">
        <v>0</v>
      </c>
      <c r="D621" s="514">
        <v>0</v>
      </c>
      <c r="E621" s="514">
        <v>0</v>
      </c>
      <c r="F621" s="514">
        <v>0</v>
      </c>
      <c r="G621" s="514">
        <v>0</v>
      </c>
      <c r="H621" s="514">
        <v>0</v>
      </c>
      <c r="I621" s="514">
        <v>0</v>
      </c>
      <c r="J621" s="514">
        <v>0</v>
      </c>
      <c r="K621" s="514">
        <v>0</v>
      </c>
      <c r="L621" s="514">
        <v>0</v>
      </c>
      <c r="M621" s="514">
        <v>0</v>
      </c>
      <c r="N621" s="514">
        <v>0</v>
      </c>
      <c r="O621" s="499"/>
      <c r="P621" s="499"/>
      <c r="Q621" s="499"/>
    </row>
    <row r="622" spans="1:17" ht="14.4" x14ac:dyDescent="0.3">
      <c r="A622" s="502">
        <v>1430041</v>
      </c>
      <c r="B622" s="503" t="s">
        <v>2427</v>
      </c>
      <c r="C622" s="514">
        <v>0</v>
      </c>
      <c r="D622" s="514">
        <v>0</v>
      </c>
      <c r="E622" s="514">
        <v>0</v>
      </c>
      <c r="F622" s="514">
        <v>0</v>
      </c>
      <c r="G622" s="514">
        <v>0</v>
      </c>
      <c r="H622" s="514">
        <v>0</v>
      </c>
      <c r="I622" s="514">
        <v>0</v>
      </c>
      <c r="J622" s="514">
        <v>0</v>
      </c>
      <c r="K622" s="514">
        <v>0</v>
      </c>
      <c r="L622" s="514">
        <v>0</v>
      </c>
      <c r="M622" s="514">
        <v>0</v>
      </c>
      <c r="N622" s="514">
        <v>0</v>
      </c>
      <c r="O622" s="499"/>
      <c r="P622" s="499"/>
      <c r="Q622" s="499"/>
    </row>
    <row r="623" spans="1:17" ht="14.4" x14ac:dyDescent="0.3">
      <c r="A623" s="502">
        <v>1430050</v>
      </c>
      <c r="B623" s="503" t="s">
        <v>2428</v>
      </c>
      <c r="C623" s="514">
        <v>0</v>
      </c>
      <c r="D623" s="514">
        <v>0</v>
      </c>
      <c r="E623" s="514">
        <v>0</v>
      </c>
      <c r="F623" s="514">
        <v>0</v>
      </c>
      <c r="G623" s="514">
        <v>0</v>
      </c>
      <c r="H623" s="514">
        <v>0</v>
      </c>
      <c r="I623" s="514">
        <v>0</v>
      </c>
      <c r="J623" s="514">
        <v>0</v>
      </c>
      <c r="K623" s="514">
        <v>0</v>
      </c>
      <c r="L623" s="514">
        <v>0</v>
      </c>
      <c r="M623" s="514">
        <v>0</v>
      </c>
      <c r="N623" s="514">
        <v>0</v>
      </c>
      <c r="O623" s="499"/>
      <c r="P623" s="499"/>
      <c r="Q623" s="499"/>
    </row>
    <row r="624" spans="1:17" ht="14.4" x14ac:dyDescent="0.3">
      <c r="A624" s="502">
        <v>1430051</v>
      </c>
      <c r="B624" s="503" t="s">
        <v>2429</v>
      </c>
      <c r="C624" s="514">
        <v>0</v>
      </c>
      <c r="D624" s="514">
        <v>0</v>
      </c>
      <c r="E624" s="514">
        <v>0</v>
      </c>
      <c r="F624" s="514">
        <v>0</v>
      </c>
      <c r="G624" s="514">
        <v>0</v>
      </c>
      <c r="H624" s="514">
        <v>0</v>
      </c>
      <c r="I624" s="514">
        <v>0</v>
      </c>
      <c r="J624" s="514">
        <v>0</v>
      </c>
      <c r="K624" s="514">
        <v>0</v>
      </c>
      <c r="L624" s="514">
        <v>0</v>
      </c>
      <c r="M624" s="514">
        <v>0</v>
      </c>
      <c r="N624" s="514">
        <v>0</v>
      </c>
      <c r="O624" s="499"/>
      <c r="P624" s="499"/>
      <c r="Q624" s="499"/>
    </row>
    <row r="625" spans="1:17" ht="14.4" x14ac:dyDescent="0.3">
      <c r="A625" s="502">
        <v>1430060</v>
      </c>
      <c r="B625" s="503" t="s">
        <v>2430</v>
      </c>
      <c r="C625" s="514">
        <v>0</v>
      </c>
      <c r="D625" s="514">
        <v>0</v>
      </c>
      <c r="E625" s="514">
        <v>0</v>
      </c>
      <c r="F625" s="514">
        <v>0</v>
      </c>
      <c r="G625" s="514">
        <v>0</v>
      </c>
      <c r="H625" s="514">
        <v>0</v>
      </c>
      <c r="I625" s="514">
        <v>0</v>
      </c>
      <c r="J625" s="514">
        <v>0</v>
      </c>
      <c r="K625" s="514">
        <v>0</v>
      </c>
      <c r="L625" s="514">
        <v>0</v>
      </c>
      <c r="M625" s="514">
        <v>0</v>
      </c>
      <c r="N625" s="514">
        <v>0</v>
      </c>
      <c r="O625" s="499"/>
      <c r="P625" s="499"/>
      <c r="Q625" s="499"/>
    </row>
    <row r="626" spans="1:17" ht="14.4" x14ac:dyDescent="0.3">
      <c r="A626" s="502">
        <v>1430105</v>
      </c>
      <c r="B626" s="503" t="s">
        <v>2431</v>
      </c>
      <c r="C626" s="514">
        <v>0</v>
      </c>
      <c r="D626" s="514">
        <v>0</v>
      </c>
      <c r="E626" s="514">
        <v>0</v>
      </c>
      <c r="F626" s="514">
        <v>0</v>
      </c>
      <c r="G626" s="514">
        <v>0</v>
      </c>
      <c r="H626" s="514">
        <v>0</v>
      </c>
      <c r="I626" s="514">
        <v>0</v>
      </c>
      <c r="J626" s="514">
        <v>0</v>
      </c>
      <c r="K626" s="514">
        <v>0</v>
      </c>
      <c r="L626" s="514">
        <v>0</v>
      </c>
      <c r="M626" s="514">
        <v>0</v>
      </c>
      <c r="N626" s="514">
        <v>0</v>
      </c>
      <c r="O626" s="499"/>
      <c r="P626" s="499"/>
      <c r="Q626" s="499"/>
    </row>
    <row r="627" spans="1:17" ht="14.4" x14ac:dyDescent="0.3">
      <c r="A627" s="502">
        <v>1430300</v>
      </c>
      <c r="B627" s="503" t="s">
        <v>2432</v>
      </c>
      <c r="C627" s="514">
        <v>0</v>
      </c>
      <c r="D627" s="514">
        <v>0</v>
      </c>
      <c r="E627" s="514">
        <v>0</v>
      </c>
      <c r="F627" s="514">
        <v>0</v>
      </c>
      <c r="G627" s="514">
        <v>0</v>
      </c>
      <c r="H627" s="514">
        <v>0</v>
      </c>
      <c r="I627" s="514">
        <v>0</v>
      </c>
      <c r="J627" s="514">
        <v>0</v>
      </c>
      <c r="K627" s="514">
        <v>0</v>
      </c>
      <c r="L627" s="514">
        <v>0</v>
      </c>
      <c r="M627" s="514">
        <v>0</v>
      </c>
      <c r="N627" s="514">
        <v>0</v>
      </c>
      <c r="O627" s="499"/>
      <c r="P627" s="499"/>
      <c r="Q627" s="499"/>
    </row>
    <row r="628" spans="1:17" ht="14.4" x14ac:dyDescent="0.3">
      <c r="A628" s="502">
        <v>1430400</v>
      </c>
      <c r="B628" s="503" t="s">
        <v>2433</v>
      </c>
      <c r="C628" s="514">
        <v>0</v>
      </c>
      <c r="D628" s="514">
        <v>0</v>
      </c>
      <c r="E628" s="514">
        <v>0</v>
      </c>
      <c r="F628" s="514">
        <v>0</v>
      </c>
      <c r="G628" s="514">
        <v>0</v>
      </c>
      <c r="H628" s="514">
        <v>0</v>
      </c>
      <c r="I628" s="514">
        <v>0</v>
      </c>
      <c r="J628" s="514">
        <v>0</v>
      </c>
      <c r="K628" s="514">
        <v>0</v>
      </c>
      <c r="L628" s="514">
        <v>0</v>
      </c>
      <c r="M628" s="514">
        <v>0</v>
      </c>
      <c r="N628" s="514">
        <v>0</v>
      </c>
      <c r="O628" s="499"/>
      <c r="P628" s="499"/>
      <c r="Q628" s="499"/>
    </row>
    <row r="629" spans="1:17" ht="14.4" x14ac:dyDescent="0.3">
      <c r="A629" s="502">
        <v>1430500</v>
      </c>
      <c r="B629" s="503" t="s">
        <v>2434</v>
      </c>
      <c r="C629" s="514">
        <v>0</v>
      </c>
      <c r="D629" s="514">
        <v>0</v>
      </c>
      <c r="E629" s="514">
        <v>0</v>
      </c>
      <c r="F629" s="514">
        <v>0</v>
      </c>
      <c r="G629" s="514">
        <v>0</v>
      </c>
      <c r="H629" s="514">
        <v>0</v>
      </c>
      <c r="I629" s="514">
        <v>0</v>
      </c>
      <c r="J629" s="514">
        <v>0</v>
      </c>
      <c r="K629" s="514">
        <v>0</v>
      </c>
      <c r="L629" s="514">
        <v>0</v>
      </c>
      <c r="M629" s="514">
        <v>0</v>
      </c>
      <c r="N629" s="514">
        <v>0</v>
      </c>
      <c r="O629" s="499"/>
      <c r="P629" s="499"/>
      <c r="Q629" s="499"/>
    </row>
    <row r="630" spans="1:17" ht="14.4" x14ac:dyDescent="0.3">
      <c r="A630" s="502">
        <v>1430510</v>
      </c>
      <c r="B630" s="503" t="s">
        <v>2435</v>
      </c>
      <c r="C630" s="514">
        <v>0</v>
      </c>
      <c r="D630" s="514">
        <v>0</v>
      </c>
      <c r="E630" s="514">
        <v>0</v>
      </c>
      <c r="F630" s="514">
        <v>0</v>
      </c>
      <c r="G630" s="514">
        <v>0</v>
      </c>
      <c r="H630" s="514">
        <v>0</v>
      </c>
      <c r="I630" s="514">
        <v>0</v>
      </c>
      <c r="J630" s="514">
        <v>0</v>
      </c>
      <c r="K630" s="514">
        <v>0</v>
      </c>
      <c r="L630" s="514">
        <v>0</v>
      </c>
      <c r="M630" s="514">
        <v>0</v>
      </c>
      <c r="N630" s="514">
        <v>0</v>
      </c>
      <c r="O630" s="499"/>
      <c r="P630" s="499"/>
      <c r="Q630" s="499"/>
    </row>
    <row r="631" spans="1:17" ht="14.4" x14ac:dyDescent="0.3">
      <c r="A631" s="502">
        <v>1430520</v>
      </c>
      <c r="B631" s="503" t="s">
        <v>2436</v>
      </c>
      <c r="C631" s="514">
        <v>0</v>
      </c>
      <c r="D631" s="514">
        <v>0</v>
      </c>
      <c r="E631" s="514">
        <v>0</v>
      </c>
      <c r="F631" s="514">
        <v>0</v>
      </c>
      <c r="G631" s="514">
        <v>0</v>
      </c>
      <c r="H631" s="514">
        <v>0</v>
      </c>
      <c r="I631" s="514">
        <v>0</v>
      </c>
      <c r="J631" s="514">
        <v>0</v>
      </c>
      <c r="K631" s="514">
        <v>0</v>
      </c>
      <c r="L631" s="514">
        <v>0</v>
      </c>
      <c r="M631" s="514">
        <v>0</v>
      </c>
      <c r="N631" s="514">
        <v>0</v>
      </c>
      <c r="O631" s="499"/>
      <c r="P631" s="499"/>
      <c r="Q631" s="499"/>
    </row>
    <row r="632" spans="1:17" ht="14.4" x14ac:dyDescent="0.3">
      <c r="A632" s="502">
        <v>1440000</v>
      </c>
      <c r="B632" s="503" t="s">
        <v>2437</v>
      </c>
      <c r="C632" s="514">
        <v>2000285.16</v>
      </c>
      <c r="D632" s="514">
        <v>1962511.6</v>
      </c>
      <c r="E632" s="514">
        <v>1924045.87</v>
      </c>
      <c r="F632" s="514">
        <v>1974319.57</v>
      </c>
      <c r="G632" s="514">
        <v>2034880.29</v>
      </c>
      <c r="H632" s="514">
        <v>2107007.46</v>
      </c>
      <c r="I632" s="514">
        <v>2165992.1</v>
      </c>
      <c r="J632" s="514">
        <v>2141259.33</v>
      </c>
      <c r="K632" s="514">
        <v>2159407.44</v>
      </c>
      <c r="L632" s="514">
        <v>2085139.06</v>
      </c>
      <c r="M632" s="514">
        <v>2004668.82</v>
      </c>
      <c r="N632" s="514">
        <v>1975837.5</v>
      </c>
      <c r="O632" s="499"/>
      <c r="P632" s="499"/>
      <c r="Q632" s="499"/>
    </row>
    <row r="633" spans="1:17" ht="14.4" x14ac:dyDescent="0.3">
      <c r="A633" s="502">
        <v>1440001</v>
      </c>
      <c r="B633" s="503" t="s">
        <v>2438</v>
      </c>
      <c r="C633" s="514">
        <v>695486.73</v>
      </c>
      <c r="D633" s="514">
        <v>695486.73</v>
      </c>
      <c r="E633" s="514">
        <v>695486.73</v>
      </c>
      <c r="F633" s="514">
        <v>695486.73</v>
      </c>
      <c r="G633" s="514">
        <v>695486.73</v>
      </c>
      <c r="H633" s="514">
        <v>695486.73</v>
      </c>
      <c r="I633" s="514">
        <v>695486.73</v>
      </c>
      <c r="J633" s="514">
        <v>695486.73</v>
      </c>
      <c r="K633" s="514">
        <v>695486.73</v>
      </c>
      <c r="L633" s="514">
        <v>695486.73</v>
      </c>
      <c r="M633" s="514">
        <v>695486.73</v>
      </c>
      <c r="N633" s="514">
        <v>695486.73</v>
      </c>
      <c r="O633" s="499"/>
      <c r="P633" s="499"/>
      <c r="Q633" s="499"/>
    </row>
    <row r="634" spans="1:17" ht="14.4" x14ac:dyDescent="0.3">
      <c r="A634" s="502">
        <v>1440002</v>
      </c>
      <c r="B634" s="503" t="s">
        <v>2439</v>
      </c>
      <c r="C634" s="514">
        <v>659744.9</v>
      </c>
      <c r="D634" s="514">
        <v>659744.9</v>
      </c>
      <c r="E634" s="514">
        <v>659744.9</v>
      </c>
      <c r="F634" s="514">
        <v>659744.9</v>
      </c>
      <c r="G634" s="514">
        <v>659744.9</v>
      </c>
      <c r="H634" s="514">
        <v>659744.9</v>
      </c>
      <c r="I634" s="514">
        <v>659744.9</v>
      </c>
      <c r="J634" s="514">
        <v>659744.9</v>
      </c>
      <c r="K634" s="514">
        <v>659744.9</v>
      </c>
      <c r="L634" s="514">
        <v>659744.9</v>
      </c>
      <c r="M634" s="514">
        <v>659744.9</v>
      </c>
      <c r="N634" s="514">
        <v>659744.9</v>
      </c>
      <c r="O634" s="499"/>
      <c r="P634" s="499"/>
      <c r="Q634" s="499"/>
    </row>
    <row r="635" spans="1:17" ht="14.4" x14ac:dyDescent="0.3">
      <c r="A635" s="502">
        <v>1440010</v>
      </c>
      <c r="B635" s="503" t="s">
        <v>2440</v>
      </c>
      <c r="C635" s="514">
        <v>0</v>
      </c>
      <c r="D635" s="514">
        <v>0</v>
      </c>
      <c r="E635" s="514">
        <v>0</v>
      </c>
      <c r="F635" s="514">
        <v>0</v>
      </c>
      <c r="G635" s="514">
        <v>0</v>
      </c>
      <c r="H635" s="514">
        <v>0</v>
      </c>
      <c r="I635" s="514">
        <v>0</v>
      </c>
      <c r="J635" s="514">
        <v>0</v>
      </c>
      <c r="K635" s="514">
        <v>0</v>
      </c>
      <c r="L635" s="514">
        <v>0</v>
      </c>
      <c r="M635" s="514">
        <v>0</v>
      </c>
      <c r="N635" s="514">
        <v>0</v>
      </c>
      <c r="O635" s="499"/>
      <c r="P635" s="499"/>
      <c r="Q635" s="499"/>
    </row>
    <row r="636" spans="1:17" ht="14.4" x14ac:dyDescent="0.3">
      <c r="A636" s="502">
        <v>1440020</v>
      </c>
      <c r="B636" s="503" t="s">
        <v>2441</v>
      </c>
      <c r="C636" s="514">
        <v>0</v>
      </c>
      <c r="D636" s="514">
        <v>0</v>
      </c>
      <c r="E636" s="514">
        <v>0</v>
      </c>
      <c r="F636" s="514">
        <v>0</v>
      </c>
      <c r="G636" s="514">
        <v>0</v>
      </c>
      <c r="H636" s="514">
        <v>0</v>
      </c>
      <c r="I636" s="514">
        <v>0</v>
      </c>
      <c r="J636" s="514">
        <v>0</v>
      </c>
      <c r="K636" s="514">
        <v>0</v>
      </c>
      <c r="L636" s="514">
        <v>0</v>
      </c>
      <c r="M636" s="514">
        <v>0</v>
      </c>
      <c r="N636" s="514">
        <v>0</v>
      </c>
      <c r="O636" s="499"/>
      <c r="P636" s="499"/>
      <c r="Q636" s="499"/>
    </row>
    <row r="637" spans="1:17" ht="14.4" x14ac:dyDescent="0.3">
      <c r="A637" s="502">
        <v>1450710</v>
      </c>
      <c r="B637" s="503" t="s">
        <v>2077</v>
      </c>
      <c r="C637" s="514">
        <v>0</v>
      </c>
      <c r="D637" s="514">
        <v>0</v>
      </c>
      <c r="E637" s="514">
        <v>0</v>
      </c>
      <c r="F637" s="514">
        <v>0</v>
      </c>
      <c r="G637" s="514">
        <v>0</v>
      </c>
      <c r="H637" s="514">
        <v>0</v>
      </c>
      <c r="I637" s="514">
        <v>0</v>
      </c>
      <c r="J637" s="514">
        <v>0</v>
      </c>
      <c r="K637" s="514">
        <v>0</v>
      </c>
      <c r="L637" s="514">
        <v>0</v>
      </c>
      <c r="M637" s="514">
        <v>0</v>
      </c>
      <c r="N637" s="514">
        <v>0</v>
      </c>
      <c r="O637" s="499"/>
      <c r="P637" s="499"/>
      <c r="Q637" s="499"/>
    </row>
    <row r="638" spans="1:17" ht="14.4" x14ac:dyDescent="0.3">
      <c r="A638" s="502">
        <v>1450711</v>
      </c>
      <c r="B638" s="503" t="s">
        <v>2442</v>
      </c>
      <c r="C638" s="514">
        <v>0</v>
      </c>
      <c r="D638" s="514">
        <v>0</v>
      </c>
      <c r="E638" s="514">
        <v>0</v>
      </c>
      <c r="F638" s="514">
        <v>0</v>
      </c>
      <c r="G638" s="514">
        <v>0</v>
      </c>
      <c r="H638" s="514">
        <v>0</v>
      </c>
      <c r="I638" s="514">
        <v>0</v>
      </c>
      <c r="J638" s="514">
        <v>0</v>
      </c>
      <c r="K638" s="514">
        <v>0</v>
      </c>
      <c r="L638" s="514">
        <v>0</v>
      </c>
      <c r="M638" s="514">
        <v>0</v>
      </c>
      <c r="N638" s="514">
        <v>0</v>
      </c>
      <c r="O638" s="499"/>
      <c r="P638" s="499"/>
      <c r="Q638" s="499"/>
    </row>
    <row r="639" spans="1:17" ht="14.4" x14ac:dyDescent="0.3">
      <c r="A639" s="502">
        <v>1450712</v>
      </c>
      <c r="B639" s="503" t="s">
        <v>2443</v>
      </c>
      <c r="C639" s="514">
        <v>0</v>
      </c>
      <c r="D639" s="514">
        <v>0</v>
      </c>
      <c r="E639" s="514">
        <v>0</v>
      </c>
      <c r="F639" s="514">
        <v>0</v>
      </c>
      <c r="G639" s="514">
        <v>0</v>
      </c>
      <c r="H639" s="514">
        <v>0</v>
      </c>
      <c r="I639" s="514">
        <v>0</v>
      </c>
      <c r="J639" s="514">
        <v>0</v>
      </c>
      <c r="K639" s="514">
        <v>0</v>
      </c>
      <c r="L639" s="514">
        <v>0</v>
      </c>
      <c r="M639" s="514">
        <v>0</v>
      </c>
      <c r="N639" s="514">
        <v>0</v>
      </c>
      <c r="O639" s="499"/>
      <c r="P639" s="499"/>
      <c r="Q639" s="499"/>
    </row>
    <row r="640" spans="1:17" ht="14.4" x14ac:dyDescent="0.3">
      <c r="A640" s="502">
        <v>1450713</v>
      </c>
      <c r="B640" s="503" t="s">
        <v>2444</v>
      </c>
      <c r="C640" s="514">
        <v>0</v>
      </c>
      <c r="D640" s="514">
        <v>0</v>
      </c>
      <c r="E640" s="514">
        <v>0</v>
      </c>
      <c r="F640" s="514">
        <v>0</v>
      </c>
      <c r="G640" s="514">
        <v>0</v>
      </c>
      <c r="H640" s="514">
        <v>0</v>
      </c>
      <c r="I640" s="514">
        <v>0</v>
      </c>
      <c r="J640" s="514">
        <v>0</v>
      </c>
      <c r="K640" s="514">
        <v>0</v>
      </c>
      <c r="L640" s="514">
        <v>0</v>
      </c>
      <c r="M640" s="514">
        <v>0</v>
      </c>
      <c r="N640" s="514">
        <v>0</v>
      </c>
      <c r="O640" s="499"/>
      <c r="P640" s="499"/>
      <c r="Q640" s="499"/>
    </row>
    <row r="641" spans="1:17" ht="14.4" x14ac:dyDescent="0.3">
      <c r="A641" s="502">
        <v>1450714</v>
      </c>
      <c r="B641" s="503" t="s">
        <v>2445</v>
      </c>
      <c r="C641" s="514">
        <v>0</v>
      </c>
      <c r="D641" s="514">
        <v>0</v>
      </c>
      <c r="E641" s="514">
        <v>0</v>
      </c>
      <c r="F641" s="514">
        <v>0</v>
      </c>
      <c r="G641" s="514">
        <v>0</v>
      </c>
      <c r="H641" s="514">
        <v>0</v>
      </c>
      <c r="I641" s="514">
        <v>0</v>
      </c>
      <c r="J641" s="514">
        <v>0</v>
      </c>
      <c r="K641" s="514">
        <v>0</v>
      </c>
      <c r="L641" s="514">
        <v>0</v>
      </c>
      <c r="M641" s="514">
        <v>0</v>
      </c>
      <c r="N641" s="514">
        <v>0</v>
      </c>
      <c r="O641" s="499"/>
      <c r="P641" s="499"/>
      <c r="Q641" s="499"/>
    </row>
    <row r="642" spans="1:17" ht="14.4" x14ac:dyDescent="0.3">
      <c r="A642" s="502">
        <v>1450720</v>
      </c>
      <c r="B642" s="503" t="s">
        <v>2077</v>
      </c>
      <c r="C642" s="514">
        <v>0</v>
      </c>
      <c r="D642" s="514">
        <v>0</v>
      </c>
      <c r="E642" s="514">
        <v>0</v>
      </c>
      <c r="F642" s="514">
        <v>0</v>
      </c>
      <c r="G642" s="514">
        <v>0</v>
      </c>
      <c r="H642" s="514">
        <v>0</v>
      </c>
      <c r="I642" s="514">
        <v>0</v>
      </c>
      <c r="J642" s="514">
        <v>0</v>
      </c>
      <c r="K642" s="514">
        <v>0</v>
      </c>
      <c r="L642" s="514">
        <v>0</v>
      </c>
      <c r="M642" s="514">
        <v>0</v>
      </c>
      <c r="N642" s="514">
        <v>0</v>
      </c>
      <c r="O642" s="499"/>
      <c r="P642" s="499"/>
      <c r="Q642" s="499"/>
    </row>
    <row r="643" spans="1:17" ht="14.4" x14ac:dyDescent="0.3">
      <c r="A643" s="502">
        <v>1450721</v>
      </c>
      <c r="B643" s="503" t="s">
        <v>2446</v>
      </c>
      <c r="C643" s="514">
        <v>0</v>
      </c>
      <c r="D643" s="514">
        <v>0</v>
      </c>
      <c r="E643" s="514">
        <v>0</v>
      </c>
      <c r="F643" s="514">
        <v>0</v>
      </c>
      <c r="G643" s="514">
        <v>0</v>
      </c>
      <c r="H643" s="514">
        <v>0</v>
      </c>
      <c r="I643" s="514">
        <v>0</v>
      </c>
      <c r="J643" s="514">
        <v>0</v>
      </c>
      <c r="K643" s="514">
        <v>0</v>
      </c>
      <c r="L643" s="514">
        <v>0</v>
      </c>
      <c r="M643" s="514">
        <v>0</v>
      </c>
      <c r="N643" s="514">
        <v>0</v>
      </c>
      <c r="O643" s="499"/>
      <c r="P643" s="499"/>
      <c r="Q643" s="499"/>
    </row>
    <row r="644" spans="1:17" ht="14.4" x14ac:dyDescent="0.3">
      <c r="A644" s="502">
        <v>1460700</v>
      </c>
      <c r="B644" s="503" t="s">
        <v>2447</v>
      </c>
      <c r="C644" s="514">
        <v>7976393.1699999999</v>
      </c>
      <c r="D644" s="514">
        <v>8139571.54</v>
      </c>
      <c r="E644" s="514">
        <v>8480043.5899999999</v>
      </c>
      <c r="F644" s="514">
        <v>8432267.2200000007</v>
      </c>
      <c r="G644" s="514">
        <v>8404989.9800000004</v>
      </c>
      <c r="H644" s="514">
        <v>8402384.6300000008</v>
      </c>
      <c r="I644" s="514">
        <v>8582805.5199999996</v>
      </c>
      <c r="J644" s="514">
        <v>8583818.9800000004</v>
      </c>
      <c r="K644" s="514">
        <v>8495616.1500000004</v>
      </c>
      <c r="L644" s="514">
        <v>8868837.8900000006</v>
      </c>
      <c r="M644" s="514">
        <v>9002284.8399999999</v>
      </c>
      <c r="N644" s="514">
        <v>9118008.9700000007</v>
      </c>
      <c r="O644" s="499"/>
      <c r="P644" s="499"/>
      <c r="Q644" s="499"/>
    </row>
    <row r="645" spans="1:17" ht="14.4" x14ac:dyDescent="0.3">
      <c r="A645" s="502">
        <v>1460701</v>
      </c>
      <c r="B645" s="503" t="s">
        <v>2448</v>
      </c>
      <c r="C645" s="514">
        <v>0</v>
      </c>
      <c r="D645" s="514">
        <v>0</v>
      </c>
      <c r="E645" s="514">
        <v>0</v>
      </c>
      <c r="F645" s="514">
        <v>0</v>
      </c>
      <c r="G645" s="514">
        <v>0</v>
      </c>
      <c r="H645" s="514">
        <v>0</v>
      </c>
      <c r="I645" s="514">
        <v>0</v>
      </c>
      <c r="J645" s="514">
        <v>0</v>
      </c>
      <c r="K645" s="514">
        <v>0</v>
      </c>
      <c r="L645" s="514">
        <v>0</v>
      </c>
      <c r="M645" s="514">
        <v>0</v>
      </c>
      <c r="N645" s="514">
        <v>0</v>
      </c>
      <c r="O645" s="499"/>
      <c r="P645" s="499"/>
      <c r="Q645" s="499"/>
    </row>
    <row r="646" spans="1:17" ht="14.4" x14ac:dyDescent="0.3">
      <c r="A646" s="502">
        <v>1460702</v>
      </c>
      <c r="B646" s="503" t="s">
        <v>2449</v>
      </c>
      <c r="C646" s="514">
        <v>0</v>
      </c>
      <c r="D646" s="514">
        <v>0</v>
      </c>
      <c r="E646" s="514">
        <v>0</v>
      </c>
      <c r="F646" s="514">
        <v>0</v>
      </c>
      <c r="G646" s="514">
        <v>0</v>
      </c>
      <c r="H646" s="514">
        <v>0</v>
      </c>
      <c r="I646" s="514">
        <v>0</v>
      </c>
      <c r="J646" s="514">
        <v>0</v>
      </c>
      <c r="K646" s="514">
        <v>0</v>
      </c>
      <c r="L646" s="514">
        <v>0</v>
      </c>
      <c r="M646" s="514">
        <v>0</v>
      </c>
      <c r="N646" s="514">
        <v>0</v>
      </c>
      <c r="O646" s="499"/>
      <c r="P646" s="499"/>
      <c r="Q646" s="499"/>
    </row>
    <row r="647" spans="1:17" ht="14.4" x14ac:dyDescent="0.3">
      <c r="A647" s="502">
        <v>1460703</v>
      </c>
      <c r="B647" s="503" t="s">
        <v>2450</v>
      </c>
      <c r="C647" s="514">
        <v>0</v>
      </c>
      <c r="D647" s="514">
        <v>0</v>
      </c>
      <c r="E647" s="514">
        <v>0</v>
      </c>
      <c r="F647" s="514">
        <v>0</v>
      </c>
      <c r="G647" s="514">
        <v>0</v>
      </c>
      <c r="H647" s="514">
        <v>0</v>
      </c>
      <c r="I647" s="514">
        <v>0</v>
      </c>
      <c r="J647" s="514">
        <v>0</v>
      </c>
      <c r="K647" s="514">
        <v>0</v>
      </c>
      <c r="L647" s="514">
        <v>0</v>
      </c>
      <c r="M647" s="514">
        <v>0</v>
      </c>
      <c r="N647" s="514">
        <v>0</v>
      </c>
      <c r="O647" s="499"/>
      <c r="P647" s="499"/>
      <c r="Q647" s="499"/>
    </row>
    <row r="648" spans="1:17" ht="14.4" x14ac:dyDescent="0.3">
      <c r="A648" s="502">
        <v>1460704</v>
      </c>
      <c r="B648" s="503" t="s">
        <v>2451</v>
      </c>
      <c r="C648" s="514">
        <v>0</v>
      </c>
      <c r="D648" s="514">
        <v>0</v>
      </c>
      <c r="E648" s="514">
        <v>0</v>
      </c>
      <c r="F648" s="514">
        <v>0</v>
      </c>
      <c r="G648" s="514">
        <v>0</v>
      </c>
      <c r="H648" s="514">
        <v>0</v>
      </c>
      <c r="I648" s="514">
        <v>0</v>
      </c>
      <c r="J648" s="514">
        <v>0</v>
      </c>
      <c r="K648" s="514">
        <v>0</v>
      </c>
      <c r="L648" s="514">
        <v>0</v>
      </c>
      <c r="M648" s="514">
        <v>0</v>
      </c>
      <c r="N648" s="514">
        <v>0</v>
      </c>
      <c r="O648" s="499"/>
      <c r="P648" s="499"/>
      <c r="Q648" s="499"/>
    </row>
    <row r="649" spans="1:17" ht="14.4" x14ac:dyDescent="0.3">
      <c r="A649" s="502">
        <v>1460705</v>
      </c>
      <c r="B649" s="503" t="s">
        <v>2452</v>
      </c>
      <c r="C649" s="514">
        <v>0</v>
      </c>
      <c r="D649" s="514">
        <v>0</v>
      </c>
      <c r="E649" s="514">
        <v>0</v>
      </c>
      <c r="F649" s="514">
        <v>0</v>
      </c>
      <c r="G649" s="514">
        <v>0</v>
      </c>
      <c r="H649" s="514">
        <v>0</v>
      </c>
      <c r="I649" s="514">
        <v>0</v>
      </c>
      <c r="J649" s="514">
        <v>0</v>
      </c>
      <c r="K649" s="514">
        <v>0</v>
      </c>
      <c r="L649" s="514">
        <v>0</v>
      </c>
      <c r="M649" s="514">
        <v>0</v>
      </c>
      <c r="N649" s="514">
        <v>0</v>
      </c>
      <c r="O649" s="499"/>
      <c r="P649" s="499"/>
      <c r="Q649" s="499"/>
    </row>
    <row r="650" spans="1:17" ht="14.4" x14ac:dyDescent="0.3">
      <c r="A650" s="502">
        <v>1460706</v>
      </c>
      <c r="B650" s="503" t="s">
        <v>2453</v>
      </c>
      <c r="C650" s="514">
        <v>24449.9</v>
      </c>
      <c r="D650" s="514">
        <v>24225.86</v>
      </c>
      <c r="E650" s="514">
        <v>23842.97</v>
      </c>
      <c r="F650" s="514">
        <v>23222.34</v>
      </c>
      <c r="G650" s="514">
        <v>23709.01</v>
      </c>
      <c r="H650" s="514">
        <v>22456.14</v>
      </c>
      <c r="I650" s="514">
        <v>20259.54</v>
      </c>
      <c r="J650" s="514">
        <v>20680.21</v>
      </c>
      <c r="K650" s="514">
        <v>22063.8</v>
      </c>
      <c r="L650" s="514">
        <v>22729.21</v>
      </c>
      <c r="M650" s="514">
        <v>24877.85</v>
      </c>
      <c r="N650" s="514">
        <v>25976.720000000001</v>
      </c>
      <c r="O650" s="499"/>
      <c r="P650" s="499"/>
      <c r="Q650" s="499"/>
    </row>
    <row r="651" spans="1:17" ht="14.4" x14ac:dyDescent="0.3">
      <c r="A651" s="502">
        <v>1460707</v>
      </c>
      <c r="B651" s="503" t="s">
        <v>2454</v>
      </c>
      <c r="C651" s="514">
        <v>733.44</v>
      </c>
      <c r="D651" s="514">
        <v>733.44</v>
      </c>
      <c r="E651" s="514">
        <v>733.44</v>
      </c>
      <c r="F651" s="514">
        <v>733.44</v>
      </c>
      <c r="G651" s="514">
        <v>733.44</v>
      </c>
      <c r="H651" s="514">
        <v>733.44</v>
      </c>
      <c r="I651" s="514">
        <v>733.44</v>
      </c>
      <c r="J651" s="514">
        <v>733.44</v>
      </c>
      <c r="K651" s="514">
        <v>733.44</v>
      </c>
      <c r="L651" s="514">
        <v>733.44</v>
      </c>
      <c r="M651" s="514">
        <v>733.44</v>
      </c>
      <c r="N651" s="514">
        <v>733.44</v>
      </c>
      <c r="O651" s="499"/>
      <c r="P651" s="499"/>
      <c r="Q651" s="499"/>
    </row>
    <row r="652" spans="1:17" ht="14.4" x14ac:dyDescent="0.3">
      <c r="A652" s="502">
        <v>1460708</v>
      </c>
      <c r="B652" s="503" t="s">
        <v>2455</v>
      </c>
      <c r="C652" s="514">
        <v>201267.24</v>
      </c>
      <c r="D652" s="514">
        <v>201267.24</v>
      </c>
      <c r="E652" s="514">
        <v>201267.24</v>
      </c>
      <c r="F652" s="514">
        <v>201267.24</v>
      </c>
      <c r="G652" s="514">
        <v>201267.24</v>
      </c>
      <c r="H652" s="514">
        <v>201267.24</v>
      </c>
      <c r="I652" s="514">
        <v>201267.24</v>
      </c>
      <c r="J652" s="514">
        <v>201267.24</v>
      </c>
      <c r="K652" s="514">
        <v>201267.24</v>
      </c>
      <c r="L652" s="514">
        <v>201267.24</v>
      </c>
      <c r="M652" s="514">
        <v>201267.24</v>
      </c>
      <c r="N652" s="514">
        <v>201267.24</v>
      </c>
      <c r="O652" s="499"/>
      <c r="P652" s="499"/>
      <c r="Q652" s="499"/>
    </row>
    <row r="653" spans="1:17" ht="14.4" x14ac:dyDescent="0.3">
      <c r="A653" s="502">
        <v>1460709</v>
      </c>
      <c r="B653" s="503" t="s">
        <v>2456</v>
      </c>
      <c r="C653" s="514">
        <v>95370.880000000005</v>
      </c>
      <c r="D653" s="514">
        <v>95370.880000000005</v>
      </c>
      <c r="E653" s="514">
        <v>95370.880000000005</v>
      </c>
      <c r="F653" s="514">
        <v>95370.880000000005</v>
      </c>
      <c r="G653" s="514">
        <v>95370.880000000005</v>
      </c>
      <c r="H653" s="514">
        <v>95370.880000000005</v>
      </c>
      <c r="I653" s="514">
        <v>95370.880000000005</v>
      </c>
      <c r="J653" s="514">
        <v>95370.880000000005</v>
      </c>
      <c r="K653" s="514">
        <v>95370.880000000005</v>
      </c>
      <c r="L653" s="514">
        <v>95370.880000000005</v>
      </c>
      <c r="M653" s="514">
        <v>95370.880000000005</v>
      </c>
      <c r="N653" s="514">
        <v>95370.880000000005</v>
      </c>
      <c r="O653" s="499"/>
      <c r="P653" s="499"/>
      <c r="Q653" s="499"/>
    </row>
    <row r="654" spans="1:17" ht="14.4" x14ac:dyDescent="0.3">
      <c r="A654" s="502">
        <v>1460710</v>
      </c>
      <c r="B654" s="503" t="s">
        <v>2457</v>
      </c>
      <c r="C654" s="514">
        <v>0</v>
      </c>
      <c r="D654" s="514">
        <v>0</v>
      </c>
      <c r="E654" s="514">
        <v>0</v>
      </c>
      <c r="F654" s="514">
        <v>0</v>
      </c>
      <c r="G654" s="514">
        <v>0</v>
      </c>
      <c r="H654" s="514">
        <v>0</v>
      </c>
      <c r="I654" s="514">
        <v>0</v>
      </c>
      <c r="J654" s="514">
        <v>0</v>
      </c>
      <c r="K654" s="514">
        <v>0</v>
      </c>
      <c r="L654" s="514">
        <v>0</v>
      </c>
      <c r="M654" s="514">
        <v>0</v>
      </c>
      <c r="N654" s="514">
        <v>0</v>
      </c>
      <c r="O654" s="499"/>
      <c r="P654" s="499"/>
      <c r="Q654" s="499"/>
    </row>
    <row r="655" spans="1:17" ht="14.4" x14ac:dyDescent="0.3">
      <c r="A655" s="502">
        <v>1460711</v>
      </c>
      <c r="B655" s="503" t="s">
        <v>2458</v>
      </c>
      <c r="C655" s="514">
        <v>0</v>
      </c>
      <c r="D655" s="514">
        <v>0</v>
      </c>
      <c r="E655" s="514">
        <v>0</v>
      </c>
      <c r="F655" s="514">
        <v>0</v>
      </c>
      <c r="G655" s="514">
        <v>0</v>
      </c>
      <c r="H655" s="514">
        <v>0</v>
      </c>
      <c r="I655" s="514">
        <v>0</v>
      </c>
      <c r="J655" s="514">
        <v>0</v>
      </c>
      <c r="K655" s="514">
        <v>0</v>
      </c>
      <c r="L655" s="514">
        <v>0</v>
      </c>
      <c r="M655" s="514">
        <v>0</v>
      </c>
      <c r="N655" s="514">
        <v>0</v>
      </c>
      <c r="O655" s="499"/>
      <c r="P655" s="499"/>
      <c r="Q655" s="499"/>
    </row>
    <row r="656" spans="1:17" ht="14.4" x14ac:dyDescent="0.3">
      <c r="A656" s="502">
        <v>1460713</v>
      </c>
      <c r="B656" s="503" t="s">
        <v>2459</v>
      </c>
      <c r="C656" s="514">
        <v>0</v>
      </c>
      <c r="D656" s="514">
        <v>0</v>
      </c>
      <c r="E656" s="514">
        <v>0</v>
      </c>
      <c r="F656" s="514">
        <v>0</v>
      </c>
      <c r="G656" s="514">
        <v>0</v>
      </c>
      <c r="H656" s="514">
        <v>0</v>
      </c>
      <c r="I656" s="514">
        <v>0</v>
      </c>
      <c r="J656" s="514">
        <v>0</v>
      </c>
      <c r="K656" s="514">
        <v>0</v>
      </c>
      <c r="L656" s="514">
        <v>0</v>
      </c>
      <c r="M656" s="514">
        <v>0</v>
      </c>
      <c r="N656" s="514">
        <v>0</v>
      </c>
      <c r="O656" s="499"/>
      <c r="P656" s="499"/>
      <c r="Q656" s="499"/>
    </row>
    <row r="657" spans="1:17" ht="14.4" x14ac:dyDescent="0.3">
      <c r="A657" s="502">
        <v>1460714</v>
      </c>
      <c r="B657" s="503" t="s">
        <v>2460</v>
      </c>
      <c r="C657" s="514">
        <v>0</v>
      </c>
      <c r="D657" s="514">
        <v>0</v>
      </c>
      <c r="E657" s="514">
        <v>0</v>
      </c>
      <c r="F657" s="514">
        <v>0</v>
      </c>
      <c r="G657" s="514">
        <v>0</v>
      </c>
      <c r="H657" s="514">
        <v>0</v>
      </c>
      <c r="I657" s="514">
        <v>0</v>
      </c>
      <c r="J657" s="514">
        <v>0</v>
      </c>
      <c r="K657" s="514">
        <v>0</v>
      </c>
      <c r="L657" s="514">
        <v>0</v>
      </c>
      <c r="M657" s="514">
        <v>0</v>
      </c>
      <c r="N657" s="514">
        <v>0</v>
      </c>
      <c r="O657" s="499"/>
      <c r="P657" s="499"/>
      <c r="Q657" s="499"/>
    </row>
    <row r="658" spans="1:17" ht="14.4" x14ac:dyDescent="0.3">
      <c r="A658" s="502">
        <v>1460720</v>
      </c>
      <c r="B658" s="503" t="s">
        <v>2461</v>
      </c>
      <c r="C658" s="514">
        <v>0</v>
      </c>
      <c r="D658" s="514">
        <v>0</v>
      </c>
      <c r="E658" s="514">
        <v>0</v>
      </c>
      <c r="F658" s="514">
        <v>0</v>
      </c>
      <c r="G658" s="514">
        <v>0</v>
      </c>
      <c r="H658" s="514">
        <v>0</v>
      </c>
      <c r="I658" s="514">
        <v>0</v>
      </c>
      <c r="J658" s="514">
        <v>0</v>
      </c>
      <c r="K658" s="514">
        <v>0</v>
      </c>
      <c r="L658" s="514">
        <v>0</v>
      </c>
      <c r="M658" s="514">
        <v>0</v>
      </c>
      <c r="N658" s="514">
        <v>0</v>
      </c>
      <c r="O658" s="499"/>
      <c r="P658" s="499"/>
      <c r="Q658" s="499"/>
    </row>
    <row r="659" spans="1:17" ht="14.4" x14ac:dyDescent="0.3">
      <c r="A659" s="502">
        <v>1460721</v>
      </c>
      <c r="B659" s="503" t="s">
        <v>2462</v>
      </c>
      <c r="C659" s="514">
        <v>0</v>
      </c>
      <c r="D659" s="514">
        <v>0</v>
      </c>
      <c r="E659" s="514">
        <v>0</v>
      </c>
      <c r="F659" s="514">
        <v>0</v>
      </c>
      <c r="G659" s="514">
        <v>0</v>
      </c>
      <c r="H659" s="514">
        <v>0</v>
      </c>
      <c r="I659" s="514">
        <v>0</v>
      </c>
      <c r="J659" s="514">
        <v>0</v>
      </c>
      <c r="K659" s="514">
        <v>0</v>
      </c>
      <c r="L659" s="514">
        <v>0</v>
      </c>
      <c r="M659" s="514">
        <v>0</v>
      </c>
      <c r="N659" s="514">
        <v>0</v>
      </c>
      <c r="O659" s="499"/>
      <c r="P659" s="499"/>
      <c r="Q659" s="499"/>
    </row>
    <row r="660" spans="1:17" ht="14.4" x14ac:dyDescent="0.3">
      <c r="A660" s="502">
        <v>1460730</v>
      </c>
      <c r="B660" s="503" t="s">
        <v>2463</v>
      </c>
      <c r="C660" s="514">
        <v>0</v>
      </c>
      <c r="D660" s="514">
        <v>0</v>
      </c>
      <c r="E660" s="514">
        <v>0</v>
      </c>
      <c r="F660" s="514">
        <v>0</v>
      </c>
      <c r="G660" s="514">
        <v>0</v>
      </c>
      <c r="H660" s="514">
        <v>0</v>
      </c>
      <c r="I660" s="514">
        <v>0</v>
      </c>
      <c r="J660" s="514">
        <v>0</v>
      </c>
      <c r="K660" s="514">
        <v>0</v>
      </c>
      <c r="L660" s="514">
        <v>0</v>
      </c>
      <c r="M660" s="514">
        <v>0</v>
      </c>
      <c r="N660" s="514">
        <v>0</v>
      </c>
      <c r="O660" s="499"/>
      <c r="P660" s="499"/>
      <c r="Q660" s="499"/>
    </row>
    <row r="661" spans="1:17" ht="14.4" x14ac:dyDescent="0.3">
      <c r="A661" s="502">
        <v>1460731</v>
      </c>
      <c r="B661" s="503" t="s">
        <v>2077</v>
      </c>
      <c r="C661" s="514">
        <v>0</v>
      </c>
      <c r="D661" s="514">
        <v>0</v>
      </c>
      <c r="E661" s="514">
        <v>0</v>
      </c>
      <c r="F661" s="514">
        <v>0</v>
      </c>
      <c r="G661" s="514">
        <v>0</v>
      </c>
      <c r="H661" s="514">
        <v>0</v>
      </c>
      <c r="I661" s="514">
        <v>0</v>
      </c>
      <c r="J661" s="514">
        <v>0</v>
      </c>
      <c r="K661" s="514">
        <v>0</v>
      </c>
      <c r="L661" s="514">
        <v>0</v>
      </c>
      <c r="M661" s="514">
        <v>0</v>
      </c>
      <c r="N661" s="514">
        <v>0</v>
      </c>
      <c r="O661" s="499"/>
      <c r="P661" s="499"/>
      <c r="Q661" s="499"/>
    </row>
    <row r="662" spans="1:17" ht="14.4" x14ac:dyDescent="0.3">
      <c r="A662" s="502">
        <v>1460732</v>
      </c>
      <c r="B662" s="503" t="s">
        <v>2464</v>
      </c>
      <c r="C662" s="514">
        <v>0</v>
      </c>
      <c r="D662" s="514">
        <v>0</v>
      </c>
      <c r="E662" s="514">
        <v>0</v>
      </c>
      <c r="F662" s="514">
        <v>0</v>
      </c>
      <c r="G662" s="514">
        <v>0</v>
      </c>
      <c r="H662" s="514">
        <v>0</v>
      </c>
      <c r="I662" s="514">
        <v>0</v>
      </c>
      <c r="J662" s="514">
        <v>0</v>
      </c>
      <c r="K662" s="514">
        <v>0</v>
      </c>
      <c r="L662" s="514">
        <v>0</v>
      </c>
      <c r="M662" s="514">
        <v>0</v>
      </c>
      <c r="N662" s="514">
        <v>0</v>
      </c>
      <c r="O662" s="499"/>
      <c r="P662" s="499"/>
      <c r="Q662" s="499"/>
    </row>
    <row r="663" spans="1:17" ht="14.4" x14ac:dyDescent="0.3">
      <c r="A663" s="502">
        <v>1460740</v>
      </c>
      <c r="B663" s="503" t="s">
        <v>2465</v>
      </c>
      <c r="C663" s="514">
        <v>0</v>
      </c>
      <c r="D663" s="514">
        <v>0</v>
      </c>
      <c r="E663" s="514">
        <v>0</v>
      </c>
      <c r="F663" s="514">
        <v>0</v>
      </c>
      <c r="G663" s="514">
        <v>0</v>
      </c>
      <c r="H663" s="514">
        <v>0</v>
      </c>
      <c r="I663" s="514">
        <v>0</v>
      </c>
      <c r="J663" s="514">
        <v>0</v>
      </c>
      <c r="K663" s="514">
        <v>0</v>
      </c>
      <c r="L663" s="514">
        <v>0</v>
      </c>
      <c r="M663" s="514">
        <v>0</v>
      </c>
      <c r="N663" s="514">
        <v>0</v>
      </c>
      <c r="O663" s="499"/>
      <c r="P663" s="499"/>
      <c r="Q663" s="499"/>
    </row>
    <row r="664" spans="1:17" ht="14.4" x14ac:dyDescent="0.3">
      <c r="A664" s="502">
        <v>1460741</v>
      </c>
      <c r="B664" s="503" t="s">
        <v>2466</v>
      </c>
      <c r="C664" s="514">
        <v>0</v>
      </c>
      <c r="D664" s="514">
        <v>0</v>
      </c>
      <c r="E664" s="514">
        <v>0</v>
      </c>
      <c r="F664" s="514">
        <v>0</v>
      </c>
      <c r="G664" s="514">
        <v>0</v>
      </c>
      <c r="H664" s="514">
        <v>0</v>
      </c>
      <c r="I664" s="514">
        <v>0</v>
      </c>
      <c r="J664" s="514">
        <v>0</v>
      </c>
      <c r="K664" s="514">
        <v>0</v>
      </c>
      <c r="L664" s="514">
        <v>0</v>
      </c>
      <c r="M664" s="514">
        <v>0</v>
      </c>
      <c r="N664" s="514">
        <v>0</v>
      </c>
      <c r="O664" s="499"/>
      <c r="P664" s="499"/>
      <c r="Q664" s="499"/>
    </row>
    <row r="665" spans="1:17" ht="14.4" x14ac:dyDescent="0.3">
      <c r="A665" s="502">
        <v>1460742</v>
      </c>
      <c r="B665" s="503" t="s">
        <v>2467</v>
      </c>
      <c r="C665" s="514">
        <v>0</v>
      </c>
      <c r="D665" s="514">
        <v>0</v>
      </c>
      <c r="E665" s="514">
        <v>0</v>
      </c>
      <c r="F665" s="514">
        <v>0</v>
      </c>
      <c r="G665" s="514">
        <v>0</v>
      </c>
      <c r="H665" s="514">
        <v>0</v>
      </c>
      <c r="I665" s="514">
        <v>0</v>
      </c>
      <c r="J665" s="514">
        <v>0</v>
      </c>
      <c r="K665" s="514">
        <v>0</v>
      </c>
      <c r="L665" s="514">
        <v>0</v>
      </c>
      <c r="M665" s="514">
        <v>0</v>
      </c>
      <c r="N665" s="514">
        <v>0</v>
      </c>
      <c r="O665" s="499"/>
      <c r="P665" s="499"/>
      <c r="Q665" s="499"/>
    </row>
    <row r="666" spans="1:17" ht="14.4" x14ac:dyDescent="0.3">
      <c r="A666" s="502">
        <v>1460743</v>
      </c>
      <c r="B666" s="503" t="s">
        <v>2468</v>
      </c>
      <c r="C666" s="514">
        <v>0</v>
      </c>
      <c r="D666" s="514">
        <v>0</v>
      </c>
      <c r="E666" s="514">
        <v>0</v>
      </c>
      <c r="F666" s="514">
        <v>0</v>
      </c>
      <c r="G666" s="514">
        <v>0</v>
      </c>
      <c r="H666" s="514">
        <v>0</v>
      </c>
      <c r="I666" s="514">
        <v>0</v>
      </c>
      <c r="J666" s="514">
        <v>0</v>
      </c>
      <c r="K666" s="514">
        <v>0</v>
      </c>
      <c r="L666" s="514">
        <v>0</v>
      </c>
      <c r="M666" s="514">
        <v>0</v>
      </c>
      <c r="N666" s="514">
        <v>0</v>
      </c>
      <c r="O666" s="499"/>
      <c r="P666" s="499"/>
      <c r="Q666" s="499"/>
    </row>
    <row r="667" spans="1:17" ht="14.4" x14ac:dyDescent="0.3">
      <c r="A667" s="502">
        <v>1460750</v>
      </c>
      <c r="B667" s="503" t="s">
        <v>2469</v>
      </c>
      <c r="C667" s="514">
        <v>0</v>
      </c>
      <c r="D667" s="514">
        <v>0</v>
      </c>
      <c r="E667" s="514">
        <v>0</v>
      </c>
      <c r="F667" s="514">
        <v>0</v>
      </c>
      <c r="G667" s="514">
        <v>0</v>
      </c>
      <c r="H667" s="514">
        <v>0</v>
      </c>
      <c r="I667" s="514">
        <v>0</v>
      </c>
      <c r="J667" s="514">
        <v>0</v>
      </c>
      <c r="K667" s="514">
        <v>0</v>
      </c>
      <c r="L667" s="514">
        <v>0</v>
      </c>
      <c r="M667" s="514">
        <v>0</v>
      </c>
      <c r="N667" s="514">
        <v>0</v>
      </c>
      <c r="O667" s="499"/>
      <c r="P667" s="499"/>
      <c r="Q667" s="499"/>
    </row>
    <row r="668" spans="1:17" ht="14.4" x14ac:dyDescent="0.3">
      <c r="A668" s="502">
        <v>1460751</v>
      </c>
      <c r="B668" s="503" t="s">
        <v>2470</v>
      </c>
      <c r="C668" s="514">
        <v>18304.759999999998</v>
      </c>
      <c r="D668" s="514">
        <v>18304.759999999998</v>
      </c>
      <c r="E668" s="514">
        <v>18304.759999999998</v>
      </c>
      <c r="F668" s="514">
        <v>18304.759999999998</v>
      </c>
      <c r="G668" s="514">
        <v>18304.759999999998</v>
      </c>
      <c r="H668" s="514">
        <v>18304.759999999998</v>
      </c>
      <c r="I668" s="514">
        <v>18304.759999999998</v>
      </c>
      <c r="J668" s="514">
        <v>18304.759999999998</v>
      </c>
      <c r="K668" s="514">
        <v>18304.759999999998</v>
      </c>
      <c r="L668" s="514">
        <v>18304.759999999998</v>
      </c>
      <c r="M668" s="514">
        <v>18304.759999999998</v>
      </c>
      <c r="N668" s="514">
        <v>18304.759999999998</v>
      </c>
      <c r="O668" s="499"/>
      <c r="P668" s="499"/>
      <c r="Q668" s="499"/>
    </row>
    <row r="669" spans="1:17" ht="14.4" x14ac:dyDescent="0.3">
      <c r="A669" s="502">
        <v>1460752</v>
      </c>
      <c r="B669" s="503" t="s">
        <v>2471</v>
      </c>
      <c r="C669" s="514">
        <v>8026.94</v>
      </c>
      <c r="D669" s="514">
        <v>8026.94</v>
      </c>
      <c r="E669" s="514">
        <v>8026.94</v>
      </c>
      <c r="F669" s="514">
        <v>8026.94</v>
      </c>
      <c r="G669" s="514">
        <v>8026.94</v>
      </c>
      <c r="H669" s="514">
        <v>8026.94</v>
      </c>
      <c r="I669" s="514">
        <v>8026.94</v>
      </c>
      <c r="J669" s="514">
        <v>8026.94</v>
      </c>
      <c r="K669" s="514">
        <v>8026.94</v>
      </c>
      <c r="L669" s="514">
        <v>8026.94</v>
      </c>
      <c r="M669" s="514">
        <v>8026.94</v>
      </c>
      <c r="N669" s="514">
        <v>8026.94</v>
      </c>
      <c r="O669" s="499"/>
      <c r="P669" s="499"/>
      <c r="Q669" s="499"/>
    </row>
    <row r="670" spans="1:17" ht="14.4" x14ac:dyDescent="0.3">
      <c r="A670" s="502">
        <v>1460753</v>
      </c>
      <c r="B670" s="503" t="s">
        <v>2472</v>
      </c>
      <c r="C670" s="514">
        <v>0</v>
      </c>
      <c r="D670" s="514">
        <v>0</v>
      </c>
      <c r="E670" s="514">
        <v>0</v>
      </c>
      <c r="F670" s="514">
        <v>0</v>
      </c>
      <c r="G670" s="514">
        <v>0</v>
      </c>
      <c r="H670" s="514">
        <v>0</v>
      </c>
      <c r="I670" s="514">
        <v>0</v>
      </c>
      <c r="J670" s="514">
        <v>0</v>
      </c>
      <c r="K670" s="514">
        <v>0</v>
      </c>
      <c r="L670" s="514">
        <v>0</v>
      </c>
      <c r="M670" s="514">
        <v>0</v>
      </c>
      <c r="N670" s="514">
        <v>0</v>
      </c>
      <c r="O670" s="499"/>
      <c r="P670" s="499"/>
      <c r="Q670" s="499"/>
    </row>
    <row r="671" spans="1:17" ht="14.4" x14ac:dyDescent="0.3">
      <c r="A671" s="502">
        <v>1460754</v>
      </c>
      <c r="B671" s="503" t="s">
        <v>2473</v>
      </c>
      <c r="C671" s="514">
        <v>10116.200000000001</v>
      </c>
      <c r="D671" s="514">
        <v>10116.200000000001</v>
      </c>
      <c r="E671" s="514">
        <v>10116.200000000001</v>
      </c>
      <c r="F671" s="514">
        <v>10116.200000000001</v>
      </c>
      <c r="G671" s="514">
        <v>10116.200000000001</v>
      </c>
      <c r="H671" s="514">
        <v>10116.200000000001</v>
      </c>
      <c r="I671" s="514">
        <v>10116.200000000001</v>
      </c>
      <c r="J671" s="514">
        <v>10116.200000000001</v>
      </c>
      <c r="K671" s="514">
        <v>10116.200000000001</v>
      </c>
      <c r="L671" s="514">
        <v>10116.200000000001</v>
      </c>
      <c r="M671" s="514">
        <v>10116.200000000001</v>
      </c>
      <c r="N671" s="514">
        <v>10116.200000000001</v>
      </c>
      <c r="O671" s="499"/>
      <c r="P671" s="499"/>
      <c r="Q671" s="499"/>
    </row>
    <row r="672" spans="1:17" ht="14.4" x14ac:dyDescent="0.3">
      <c r="A672" s="502">
        <v>1460755</v>
      </c>
      <c r="B672" s="503" t="s">
        <v>2474</v>
      </c>
      <c r="C672" s="514">
        <v>17442.43</v>
      </c>
      <c r="D672" s="514">
        <v>17442.43</v>
      </c>
      <c r="E672" s="514">
        <v>17442.43</v>
      </c>
      <c r="F672" s="514">
        <v>17442.43</v>
      </c>
      <c r="G672" s="514">
        <v>17442.43</v>
      </c>
      <c r="H672" s="514">
        <v>17442.43</v>
      </c>
      <c r="I672" s="514">
        <v>17442.43</v>
      </c>
      <c r="J672" s="514">
        <v>17442.43</v>
      </c>
      <c r="K672" s="514">
        <v>17442.43</v>
      </c>
      <c r="L672" s="514">
        <v>17442.43</v>
      </c>
      <c r="M672" s="514">
        <v>17442.43</v>
      </c>
      <c r="N672" s="514">
        <v>17442.43</v>
      </c>
      <c r="O672" s="499"/>
      <c r="P672" s="499"/>
      <c r="Q672" s="499"/>
    </row>
    <row r="673" spans="1:17" ht="14.4" x14ac:dyDescent="0.3">
      <c r="A673" s="502">
        <v>1460756</v>
      </c>
      <c r="B673" s="503" t="s">
        <v>2475</v>
      </c>
      <c r="C673" s="514">
        <v>0</v>
      </c>
      <c r="D673" s="514">
        <v>0</v>
      </c>
      <c r="E673" s="514">
        <v>0</v>
      </c>
      <c r="F673" s="514">
        <v>0</v>
      </c>
      <c r="G673" s="514">
        <v>0</v>
      </c>
      <c r="H673" s="514">
        <v>0</v>
      </c>
      <c r="I673" s="514">
        <v>0</v>
      </c>
      <c r="J673" s="514">
        <v>0</v>
      </c>
      <c r="K673" s="514">
        <v>0</v>
      </c>
      <c r="L673" s="514">
        <v>0</v>
      </c>
      <c r="M673" s="514">
        <v>0</v>
      </c>
      <c r="N673" s="514">
        <v>0</v>
      </c>
      <c r="O673" s="499"/>
      <c r="P673" s="499"/>
      <c r="Q673" s="499"/>
    </row>
    <row r="674" spans="1:17" ht="14.4" x14ac:dyDescent="0.3">
      <c r="A674" s="502">
        <v>1460757</v>
      </c>
      <c r="B674" s="503" t="s">
        <v>2476</v>
      </c>
      <c r="C674" s="514">
        <v>0</v>
      </c>
      <c r="D674" s="514">
        <v>0</v>
      </c>
      <c r="E674" s="514">
        <v>0</v>
      </c>
      <c r="F674" s="514">
        <v>0</v>
      </c>
      <c r="G674" s="514">
        <v>0</v>
      </c>
      <c r="H674" s="514">
        <v>0</v>
      </c>
      <c r="I674" s="514">
        <v>0</v>
      </c>
      <c r="J674" s="514">
        <v>0</v>
      </c>
      <c r="K674" s="514">
        <v>0</v>
      </c>
      <c r="L674" s="514">
        <v>0</v>
      </c>
      <c r="M674" s="514">
        <v>0</v>
      </c>
      <c r="N674" s="514">
        <v>0</v>
      </c>
      <c r="O674" s="499"/>
      <c r="P674" s="499"/>
      <c r="Q674" s="499"/>
    </row>
    <row r="675" spans="1:17" ht="14.4" x14ac:dyDescent="0.3">
      <c r="A675" s="502">
        <v>1460758</v>
      </c>
      <c r="B675" s="503" t="s">
        <v>2477</v>
      </c>
      <c r="C675" s="514">
        <v>0</v>
      </c>
      <c r="D675" s="514">
        <v>0</v>
      </c>
      <c r="E675" s="514">
        <v>0</v>
      </c>
      <c r="F675" s="514">
        <v>0</v>
      </c>
      <c r="G675" s="514">
        <v>0</v>
      </c>
      <c r="H675" s="514">
        <v>0</v>
      </c>
      <c r="I675" s="514">
        <v>0</v>
      </c>
      <c r="J675" s="514">
        <v>0</v>
      </c>
      <c r="K675" s="514">
        <v>0</v>
      </c>
      <c r="L675" s="514">
        <v>0</v>
      </c>
      <c r="M675" s="514">
        <v>0</v>
      </c>
      <c r="N675" s="514">
        <v>0</v>
      </c>
      <c r="O675" s="499"/>
      <c r="P675" s="499"/>
      <c r="Q675" s="499"/>
    </row>
    <row r="676" spans="1:17" ht="14.4" x14ac:dyDescent="0.3">
      <c r="A676" s="502">
        <v>1460759</v>
      </c>
      <c r="B676" s="503" t="s">
        <v>2478</v>
      </c>
      <c r="C676" s="514">
        <v>0</v>
      </c>
      <c r="D676" s="514">
        <v>0</v>
      </c>
      <c r="E676" s="514">
        <v>0</v>
      </c>
      <c r="F676" s="514">
        <v>0</v>
      </c>
      <c r="G676" s="514">
        <v>0</v>
      </c>
      <c r="H676" s="514">
        <v>0</v>
      </c>
      <c r="I676" s="514">
        <v>0</v>
      </c>
      <c r="J676" s="514">
        <v>0</v>
      </c>
      <c r="K676" s="514">
        <v>0</v>
      </c>
      <c r="L676" s="514">
        <v>0</v>
      </c>
      <c r="M676" s="514">
        <v>0</v>
      </c>
      <c r="N676" s="514">
        <v>0</v>
      </c>
      <c r="O676" s="499"/>
      <c r="P676" s="499"/>
      <c r="Q676" s="499"/>
    </row>
    <row r="677" spans="1:17" ht="14.4" x14ac:dyDescent="0.3">
      <c r="A677" s="502">
        <v>1460760</v>
      </c>
      <c r="B677" s="503" t="s">
        <v>2479</v>
      </c>
      <c r="C677" s="514">
        <v>159750.99</v>
      </c>
      <c r="D677" s="514">
        <v>159750.99</v>
      </c>
      <c r="E677" s="514">
        <v>159750.99</v>
      </c>
      <c r="F677" s="514">
        <v>159750.99</v>
      </c>
      <c r="G677" s="514">
        <v>159750.99</v>
      </c>
      <c r="H677" s="514">
        <v>159750.99</v>
      </c>
      <c r="I677" s="514">
        <v>159750.99</v>
      </c>
      <c r="J677" s="514">
        <v>159750.99</v>
      </c>
      <c r="K677" s="514">
        <v>159750.99</v>
      </c>
      <c r="L677" s="514">
        <v>159750.99</v>
      </c>
      <c r="M677" s="514">
        <v>159750.99</v>
      </c>
      <c r="N677" s="514">
        <v>159750.99</v>
      </c>
      <c r="O677" s="499"/>
      <c r="P677" s="499"/>
      <c r="Q677" s="499"/>
    </row>
    <row r="678" spans="1:17" ht="14.4" x14ac:dyDescent="0.3">
      <c r="A678" s="502">
        <v>1460761</v>
      </c>
      <c r="B678" s="503" t="s">
        <v>2480</v>
      </c>
      <c r="C678" s="514">
        <v>1298.9100000000001</v>
      </c>
      <c r="D678" s="514">
        <v>1298.9100000000001</v>
      </c>
      <c r="E678" s="514">
        <v>1298.9100000000001</v>
      </c>
      <c r="F678" s="514">
        <v>1298.9100000000001</v>
      </c>
      <c r="G678" s="514">
        <v>1298.9100000000001</v>
      </c>
      <c r="H678" s="514">
        <v>1298.9100000000001</v>
      </c>
      <c r="I678" s="514">
        <v>1298.9100000000001</v>
      </c>
      <c r="J678" s="514">
        <v>1298.9100000000001</v>
      </c>
      <c r="K678" s="514">
        <v>1298.9100000000001</v>
      </c>
      <c r="L678" s="514">
        <v>1298.9100000000001</v>
      </c>
      <c r="M678" s="514">
        <v>1298.9100000000001</v>
      </c>
      <c r="N678" s="514">
        <v>1298.9100000000001</v>
      </c>
      <c r="O678" s="499"/>
      <c r="P678" s="499"/>
      <c r="Q678" s="499"/>
    </row>
    <row r="679" spans="1:17" ht="14.4" x14ac:dyDescent="0.3">
      <c r="A679" s="502">
        <v>1460762</v>
      </c>
      <c r="B679" s="503" t="s">
        <v>2481</v>
      </c>
      <c r="C679" s="514">
        <v>10999.33</v>
      </c>
      <c r="D679" s="514">
        <v>10871.3</v>
      </c>
      <c r="E679" s="514">
        <v>11107.42</v>
      </c>
      <c r="F679" s="514">
        <v>11477.91</v>
      </c>
      <c r="G679" s="514">
        <v>11678.79</v>
      </c>
      <c r="H679" s="514">
        <v>12650.81</v>
      </c>
      <c r="I679" s="514">
        <v>13845.29</v>
      </c>
      <c r="J679" s="514">
        <v>15092.83</v>
      </c>
      <c r="K679" s="514">
        <v>14964.05</v>
      </c>
      <c r="L679" s="514">
        <v>15029.43</v>
      </c>
      <c r="M679" s="514">
        <v>15015.07</v>
      </c>
      <c r="N679" s="514">
        <v>15055.49</v>
      </c>
      <c r="O679" s="499"/>
      <c r="P679" s="499"/>
      <c r="Q679" s="499"/>
    </row>
    <row r="680" spans="1:17" ht="14.4" x14ac:dyDescent="0.3">
      <c r="A680" s="502">
        <v>1460763</v>
      </c>
      <c r="B680" s="503" t="s">
        <v>2482</v>
      </c>
      <c r="C680" s="514">
        <v>4101.0600000000004</v>
      </c>
      <c r="D680" s="514">
        <v>4101.0600000000004</v>
      </c>
      <c r="E680" s="514">
        <v>4101.0600000000004</v>
      </c>
      <c r="F680" s="514">
        <v>4101.0600000000004</v>
      </c>
      <c r="G680" s="514">
        <v>4101.0600000000004</v>
      </c>
      <c r="H680" s="514">
        <v>4101.0600000000004</v>
      </c>
      <c r="I680" s="514">
        <v>4101.0600000000004</v>
      </c>
      <c r="J680" s="514">
        <v>4101.0600000000004</v>
      </c>
      <c r="K680" s="514">
        <v>4101.0600000000004</v>
      </c>
      <c r="L680" s="514">
        <v>4101.0600000000004</v>
      </c>
      <c r="M680" s="514">
        <v>4101.0600000000004</v>
      </c>
      <c r="N680" s="514">
        <v>4101.0600000000004</v>
      </c>
      <c r="O680" s="499"/>
      <c r="P680" s="499"/>
      <c r="Q680" s="499"/>
    </row>
    <row r="681" spans="1:17" ht="14.4" x14ac:dyDescent="0.3">
      <c r="A681" s="502">
        <v>1460764</v>
      </c>
      <c r="B681" s="503" t="s">
        <v>2483</v>
      </c>
      <c r="C681" s="514">
        <v>103339.66</v>
      </c>
      <c r="D681" s="514">
        <v>103339.66</v>
      </c>
      <c r="E681" s="514">
        <v>103339.66</v>
      </c>
      <c r="F681" s="514">
        <v>103339.66</v>
      </c>
      <c r="G681" s="514">
        <v>103339.66</v>
      </c>
      <c r="H681" s="514">
        <v>103339.66</v>
      </c>
      <c r="I681" s="514">
        <v>103339.66</v>
      </c>
      <c r="J681" s="514">
        <v>103339.66</v>
      </c>
      <c r="K681" s="514">
        <v>103339.66</v>
      </c>
      <c r="L681" s="514">
        <v>103339.66</v>
      </c>
      <c r="M681" s="514">
        <v>103339.66</v>
      </c>
      <c r="N681" s="514">
        <v>103339.66</v>
      </c>
      <c r="O681" s="499"/>
      <c r="P681" s="499"/>
      <c r="Q681" s="499"/>
    </row>
    <row r="682" spans="1:17" ht="14.4" x14ac:dyDescent="0.3">
      <c r="A682" s="502">
        <v>1460765</v>
      </c>
      <c r="B682" s="503" t="s">
        <v>2484</v>
      </c>
      <c r="C682" s="514">
        <v>0</v>
      </c>
      <c r="D682" s="514">
        <v>0</v>
      </c>
      <c r="E682" s="514">
        <v>0</v>
      </c>
      <c r="F682" s="514">
        <v>0</v>
      </c>
      <c r="G682" s="514">
        <v>0</v>
      </c>
      <c r="H682" s="514">
        <v>0</v>
      </c>
      <c r="I682" s="514">
        <v>0</v>
      </c>
      <c r="J682" s="514">
        <v>0</v>
      </c>
      <c r="K682" s="514">
        <v>0</v>
      </c>
      <c r="L682" s="514">
        <v>0</v>
      </c>
      <c r="M682" s="514">
        <v>0</v>
      </c>
      <c r="N682" s="514">
        <v>0</v>
      </c>
      <c r="O682" s="499"/>
      <c r="P682" s="499"/>
      <c r="Q682" s="499"/>
    </row>
    <row r="683" spans="1:17" ht="14.4" x14ac:dyDescent="0.3">
      <c r="A683" s="502">
        <v>1460766</v>
      </c>
      <c r="B683" s="503" t="s">
        <v>2485</v>
      </c>
      <c r="C683" s="514">
        <v>0</v>
      </c>
      <c r="D683" s="514">
        <v>0</v>
      </c>
      <c r="E683" s="514">
        <v>0</v>
      </c>
      <c r="F683" s="514">
        <v>0</v>
      </c>
      <c r="G683" s="514">
        <v>0</v>
      </c>
      <c r="H683" s="514">
        <v>0</v>
      </c>
      <c r="I683" s="514">
        <v>0</v>
      </c>
      <c r="J683" s="514">
        <v>0</v>
      </c>
      <c r="K683" s="514">
        <v>0</v>
      </c>
      <c r="L683" s="514">
        <v>0</v>
      </c>
      <c r="M683" s="514">
        <v>0</v>
      </c>
      <c r="N683" s="514">
        <v>0</v>
      </c>
      <c r="O683" s="499"/>
      <c r="P683" s="499"/>
      <c r="Q683" s="499"/>
    </row>
    <row r="684" spans="1:17" ht="14.4" x14ac:dyDescent="0.3">
      <c r="A684" s="502">
        <v>1460767</v>
      </c>
      <c r="B684" s="503" t="s">
        <v>2486</v>
      </c>
      <c r="C684" s="514">
        <v>0</v>
      </c>
      <c r="D684" s="514">
        <v>0</v>
      </c>
      <c r="E684" s="514">
        <v>0</v>
      </c>
      <c r="F684" s="514">
        <v>0</v>
      </c>
      <c r="G684" s="514">
        <v>0</v>
      </c>
      <c r="H684" s="514">
        <v>0</v>
      </c>
      <c r="I684" s="514">
        <v>0</v>
      </c>
      <c r="J684" s="514">
        <v>0</v>
      </c>
      <c r="K684" s="514">
        <v>0</v>
      </c>
      <c r="L684" s="514">
        <v>0</v>
      </c>
      <c r="M684" s="514">
        <v>0</v>
      </c>
      <c r="N684" s="514">
        <v>0</v>
      </c>
      <c r="O684" s="499"/>
      <c r="P684" s="499"/>
      <c r="Q684" s="499"/>
    </row>
    <row r="685" spans="1:17" ht="14.4" x14ac:dyDescent="0.3">
      <c r="A685" s="502">
        <v>1460768</v>
      </c>
      <c r="B685" s="503" t="s">
        <v>2487</v>
      </c>
      <c r="C685" s="514">
        <v>0</v>
      </c>
      <c r="D685" s="514">
        <v>0</v>
      </c>
      <c r="E685" s="514">
        <v>0</v>
      </c>
      <c r="F685" s="514">
        <v>0</v>
      </c>
      <c r="G685" s="514">
        <v>0</v>
      </c>
      <c r="H685" s="514">
        <v>0</v>
      </c>
      <c r="I685" s="514">
        <v>0</v>
      </c>
      <c r="J685" s="514">
        <v>0</v>
      </c>
      <c r="K685" s="514">
        <v>0</v>
      </c>
      <c r="L685" s="514">
        <v>0</v>
      </c>
      <c r="M685" s="514">
        <v>0</v>
      </c>
      <c r="N685" s="514">
        <v>0</v>
      </c>
      <c r="O685" s="499"/>
      <c r="P685" s="499"/>
      <c r="Q685" s="499"/>
    </row>
    <row r="686" spans="1:17" ht="14.4" x14ac:dyDescent="0.3">
      <c r="A686" s="502">
        <v>1460769</v>
      </c>
      <c r="B686" s="503" t="s">
        <v>2488</v>
      </c>
      <c r="C686" s="514">
        <v>0</v>
      </c>
      <c r="D686" s="514">
        <v>0</v>
      </c>
      <c r="E686" s="514">
        <v>0</v>
      </c>
      <c r="F686" s="514">
        <v>0</v>
      </c>
      <c r="G686" s="514">
        <v>0</v>
      </c>
      <c r="H686" s="514">
        <v>0</v>
      </c>
      <c r="I686" s="514">
        <v>0</v>
      </c>
      <c r="J686" s="514">
        <v>0</v>
      </c>
      <c r="K686" s="514">
        <v>0</v>
      </c>
      <c r="L686" s="514">
        <v>0</v>
      </c>
      <c r="M686" s="514">
        <v>0</v>
      </c>
      <c r="N686" s="514">
        <v>0</v>
      </c>
      <c r="O686" s="499"/>
      <c r="P686" s="499"/>
      <c r="Q686" s="499"/>
    </row>
    <row r="687" spans="1:17" ht="14.4" x14ac:dyDescent="0.3">
      <c r="A687" s="502">
        <v>1460780</v>
      </c>
      <c r="B687" s="503" t="s">
        <v>2489</v>
      </c>
      <c r="C687" s="514">
        <v>16575.240000000002</v>
      </c>
      <c r="D687" s="514">
        <v>16575.240000000002</v>
      </c>
      <c r="E687" s="514">
        <v>16575.240000000002</v>
      </c>
      <c r="F687" s="514">
        <v>16575.240000000002</v>
      </c>
      <c r="G687" s="514">
        <v>16575.240000000002</v>
      </c>
      <c r="H687" s="514">
        <v>16575.240000000002</v>
      </c>
      <c r="I687" s="514">
        <v>16575.240000000002</v>
      </c>
      <c r="J687" s="514">
        <v>16575.240000000002</v>
      </c>
      <c r="K687" s="514">
        <v>16575.240000000002</v>
      </c>
      <c r="L687" s="514">
        <v>16575.240000000002</v>
      </c>
      <c r="M687" s="514">
        <v>16575.240000000002</v>
      </c>
      <c r="N687" s="514">
        <v>16575.240000000002</v>
      </c>
      <c r="O687" s="499"/>
      <c r="P687" s="499"/>
      <c r="Q687" s="499"/>
    </row>
    <row r="688" spans="1:17" ht="14.4" x14ac:dyDescent="0.3">
      <c r="A688" s="502">
        <v>1460781</v>
      </c>
      <c r="B688" s="503" t="s">
        <v>2490</v>
      </c>
      <c r="C688" s="514">
        <v>0</v>
      </c>
      <c r="D688" s="514">
        <v>0</v>
      </c>
      <c r="E688" s="514">
        <v>0</v>
      </c>
      <c r="F688" s="514">
        <v>0</v>
      </c>
      <c r="G688" s="514">
        <v>0</v>
      </c>
      <c r="H688" s="514">
        <v>0</v>
      </c>
      <c r="I688" s="514">
        <v>0</v>
      </c>
      <c r="J688" s="514">
        <v>0</v>
      </c>
      <c r="K688" s="514">
        <v>0</v>
      </c>
      <c r="L688" s="514">
        <v>0</v>
      </c>
      <c r="M688" s="514">
        <v>0</v>
      </c>
      <c r="N688" s="514">
        <v>0</v>
      </c>
      <c r="O688" s="499"/>
      <c r="P688" s="499"/>
      <c r="Q688" s="499"/>
    </row>
    <row r="689" spans="1:17" ht="14.4" x14ac:dyDescent="0.3">
      <c r="A689" s="502">
        <v>1460790</v>
      </c>
      <c r="B689" s="503" t="s">
        <v>2491</v>
      </c>
      <c r="C689" s="514">
        <v>0</v>
      </c>
      <c r="D689" s="514">
        <v>0</v>
      </c>
      <c r="E689" s="514">
        <v>0</v>
      </c>
      <c r="F689" s="514">
        <v>0</v>
      </c>
      <c r="G689" s="514">
        <v>0</v>
      </c>
      <c r="H689" s="514">
        <v>0</v>
      </c>
      <c r="I689" s="514">
        <v>0</v>
      </c>
      <c r="J689" s="514">
        <v>0</v>
      </c>
      <c r="K689" s="514">
        <v>0</v>
      </c>
      <c r="L689" s="514">
        <v>0</v>
      </c>
      <c r="M689" s="514">
        <v>0</v>
      </c>
      <c r="N689" s="514">
        <v>0</v>
      </c>
      <c r="O689" s="499"/>
      <c r="P689" s="499"/>
      <c r="Q689" s="499"/>
    </row>
    <row r="690" spans="1:17" ht="14.4" x14ac:dyDescent="0.3">
      <c r="A690" s="502">
        <v>1460791</v>
      </c>
      <c r="B690" s="503" t="s">
        <v>2492</v>
      </c>
      <c r="C690" s="514">
        <v>20850</v>
      </c>
      <c r="D690" s="514">
        <v>20850</v>
      </c>
      <c r="E690" s="514">
        <v>20850</v>
      </c>
      <c r="F690" s="514">
        <v>20850</v>
      </c>
      <c r="G690" s="514">
        <v>20850</v>
      </c>
      <c r="H690" s="514">
        <v>20850</v>
      </c>
      <c r="I690" s="514">
        <v>20850</v>
      </c>
      <c r="J690" s="514">
        <v>20850</v>
      </c>
      <c r="K690" s="514">
        <v>20850</v>
      </c>
      <c r="L690" s="514">
        <v>20850</v>
      </c>
      <c r="M690" s="514">
        <v>20850</v>
      </c>
      <c r="N690" s="514">
        <v>20850</v>
      </c>
      <c r="O690" s="499"/>
      <c r="P690" s="499"/>
      <c r="Q690" s="499"/>
    </row>
    <row r="691" spans="1:17" ht="14.4" x14ac:dyDescent="0.3">
      <c r="A691" s="502">
        <v>1460799</v>
      </c>
      <c r="B691" s="503" t="s">
        <v>2493</v>
      </c>
      <c r="C691" s="514">
        <v>4421048.93</v>
      </c>
      <c r="D691" s="514">
        <v>4421048.93</v>
      </c>
      <c r="E691" s="514">
        <v>4421048.93</v>
      </c>
      <c r="F691" s="514">
        <v>4421048.93</v>
      </c>
      <c r="G691" s="514">
        <v>4421048.93</v>
      </c>
      <c r="H691" s="514">
        <v>4421048.93</v>
      </c>
      <c r="I691" s="514">
        <v>4421048.93</v>
      </c>
      <c r="J691" s="514">
        <v>4421048.93</v>
      </c>
      <c r="K691" s="514">
        <v>4421048.93</v>
      </c>
      <c r="L691" s="514">
        <v>4421048.93</v>
      </c>
      <c r="M691" s="514">
        <v>4421048.93</v>
      </c>
      <c r="N691" s="514">
        <v>4421048.93</v>
      </c>
      <c r="O691" s="499"/>
      <c r="P691" s="499"/>
      <c r="Q691" s="499"/>
    </row>
    <row r="692" spans="1:17" ht="14.4" x14ac:dyDescent="0.3">
      <c r="A692" s="502">
        <v>1510010</v>
      </c>
      <c r="B692" s="503" t="s">
        <v>2494</v>
      </c>
      <c r="C692" s="514">
        <v>0</v>
      </c>
      <c r="D692" s="514">
        <v>0</v>
      </c>
      <c r="E692" s="514">
        <v>0</v>
      </c>
      <c r="F692" s="514">
        <v>0</v>
      </c>
      <c r="G692" s="514">
        <v>0</v>
      </c>
      <c r="H692" s="514">
        <v>0</v>
      </c>
      <c r="I692" s="514">
        <v>0</v>
      </c>
      <c r="J692" s="514">
        <v>0</v>
      </c>
      <c r="K692" s="514">
        <v>0</v>
      </c>
      <c r="L692" s="514">
        <v>0</v>
      </c>
      <c r="M692" s="514">
        <v>0</v>
      </c>
      <c r="N692" s="514">
        <v>0</v>
      </c>
      <c r="O692" s="499"/>
      <c r="P692" s="499"/>
      <c r="Q692" s="499"/>
    </row>
    <row r="693" spans="1:17" ht="14.4" x14ac:dyDescent="0.3">
      <c r="A693" s="502">
        <v>1510015</v>
      </c>
      <c r="B693" s="503" t="s">
        <v>2495</v>
      </c>
      <c r="C693" s="514">
        <v>0</v>
      </c>
      <c r="D693" s="514">
        <v>0</v>
      </c>
      <c r="E693" s="514">
        <v>0</v>
      </c>
      <c r="F693" s="514">
        <v>0</v>
      </c>
      <c r="G693" s="514">
        <v>0</v>
      </c>
      <c r="H693" s="514">
        <v>0</v>
      </c>
      <c r="I693" s="514">
        <v>0</v>
      </c>
      <c r="J693" s="514">
        <v>0</v>
      </c>
      <c r="K693" s="514">
        <v>0</v>
      </c>
      <c r="L693" s="514">
        <v>0</v>
      </c>
      <c r="M693" s="514">
        <v>0</v>
      </c>
      <c r="N693" s="514">
        <v>0</v>
      </c>
      <c r="O693" s="499"/>
      <c r="P693" s="499"/>
      <c r="Q693" s="499"/>
    </row>
    <row r="694" spans="1:17" ht="14.4" x14ac:dyDescent="0.3">
      <c r="A694" s="502">
        <v>1510020</v>
      </c>
      <c r="B694" s="503" t="s">
        <v>2496</v>
      </c>
      <c r="C694" s="514">
        <v>16912000</v>
      </c>
      <c r="D694" s="514">
        <v>17073000</v>
      </c>
      <c r="E694" s="514">
        <v>16650000</v>
      </c>
      <c r="F694" s="514">
        <v>16656000</v>
      </c>
      <c r="G694" s="514">
        <v>16656000</v>
      </c>
      <c r="H694" s="514">
        <v>16656000</v>
      </c>
      <c r="I694" s="514">
        <v>16545000</v>
      </c>
      <c r="J694" s="514">
        <v>16545000</v>
      </c>
      <c r="K694" s="514">
        <v>16545000</v>
      </c>
      <c r="L694" s="514">
        <v>16545000</v>
      </c>
      <c r="M694" s="514">
        <v>16545000</v>
      </c>
      <c r="N694" s="514">
        <v>14947000</v>
      </c>
      <c r="O694" s="499"/>
      <c r="P694" s="499"/>
      <c r="Q694" s="499"/>
    </row>
    <row r="695" spans="1:17" ht="14.4" x14ac:dyDescent="0.3">
      <c r="A695" s="502">
        <v>1510030</v>
      </c>
      <c r="B695" s="503" t="s">
        <v>2497</v>
      </c>
      <c r="C695" s="514">
        <v>4619000</v>
      </c>
      <c r="D695" s="514">
        <v>4594000</v>
      </c>
      <c r="E695" s="514">
        <v>4571000</v>
      </c>
      <c r="F695" s="514">
        <v>4571000</v>
      </c>
      <c r="G695" s="514">
        <v>4548000</v>
      </c>
      <c r="H695" s="514">
        <v>4526000</v>
      </c>
      <c r="I695" s="514">
        <v>4506000</v>
      </c>
      <c r="J695" s="514">
        <v>4485000</v>
      </c>
      <c r="K695" s="514">
        <v>4466000</v>
      </c>
      <c r="L695" s="514">
        <v>4447000</v>
      </c>
      <c r="M695" s="514">
        <v>4429000</v>
      </c>
      <c r="N695" s="514">
        <v>4410000</v>
      </c>
      <c r="O695" s="499"/>
      <c r="P695" s="499"/>
      <c r="Q695" s="499"/>
    </row>
    <row r="696" spans="1:17" ht="14.4" x14ac:dyDescent="0.3">
      <c r="A696" s="502">
        <v>1510040</v>
      </c>
      <c r="B696" s="503" t="s">
        <v>2498</v>
      </c>
      <c r="C696" s="514">
        <v>0</v>
      </c>
      <c r="D696" s="514">
        <v>0</v>
      </c>
      <c r="E696" s="514">
        <v>0</v>
      </c>
      <c r="F696" s="514">
        <v>0</v>
      </c>
      <c r="G696" s="514">
        <v>0</v>
      </c>
      <c r="H696" s="514">
        <v>0</v>
      </c>
      <c r="I696" s="514">
        <v>0</v>
      </c>
      <c r="J696" s="514">
        <v>0</v>
      </c>
      <c r="K696" s="514">
        <v>0</v>
      </c>
      <c r="L696" s="514">
        <v>0</v>
      </c>
      <c r="M696" s="514">
        <v>0</v>
      </c>
      <c r="N696" s="514">
        <v>0</v>
      </c>
      <c r="O696" s="499"/>
      <c r="P696" s="499"/>
      <c r="Q696" s="499"/>
    </row>
    <row r="697" spans="1:17" ht="14.4" x14ac:dyDescent="0.3">
      <c r="A697" s="502">
        <v>1510050</v>
      </c>
      <c r="B697" s="503" t="s">
        <v>2499</v>
      </c>
      <c r="C697" s="514">
        <v>1810000</v>
      </c>
      <c r="D697" s="514">
        <v>1771000</v>
      </c>
      <c r="E697" s="514">
        <v>1619000</v>
      </c>
      <c r="F697" s="514">
        <v>1440000</v>
      </c>
      <c r="G697" s="514">
        <v>1429000</v>
      </c>
      <c r="H697" s="514">
        <v>1475000</v>
      </c>
      <c r="I697" s="514">
        <v>1522000</v>
      </c>
      <c r="J697" s="514">
        <v>1536000</v>
      </c>
      <c r="K697" s="514">
        <v>1519000</v>
      </c>
      <c r="L697" s="514">
        <v>1546000</v>
      </c>
      <c r="M697" s="514">
        <v>1672000</v>
      </c>
      <c r="N697" s="514">
        <v>1813000</v>
      </c>
      <c r="O697" s="499"/>
      <c r="P697" s="499"/>
      <c r="Q697" s="499"/>
    </row>
    <row r="698" spans="1:17" ht="14.4" x14ac:dyDescent="0.3">
      <c r="A698" s="502">
        <v>1510060</v>
      </c>
      <c r="B698" s="503" t="s">
        <v>2500</v>
      </c>
      <c r="C698" s="514">
        <v>0</v>
      </c>
      <c r="D698" s="514">
        <v>0</v>
      </c>
      <c r="E698" s="514">
        <v>0</v>
      </c>
      <c r="F698" s="514">
        <v>0</v>
      </c>
      <c r="G698" s="514">
        <v>0</v>
      </c>
      <c r="H698" s="514">
        <v>0</v>
      </c>
      <c r="I698" s="514">
        <v>0</v>
      </c>
      <c r="J698" s="514">
        <v>0</v>
      </c>
      <c r="K698" s="514">
        <v>0</v>
      </c>
      <c r="L698" s="514">
        <v>0</v>
      </c>
      <c r="M698" s="514">
        <v>0</v>
      </c>
      <c r="N698" s="514">
        <v>0</v>
      </c>
      <c r="O698" s="499"/>
      <c r="P698" s="499"/>
      <c r="Q698" s="499"/>
    </row>
    <row r="699" spans="1:17" ht="14.4" x14ac:dyDescent="0.3">
      <c r="A699" s="502">
        <v>1510300</v>
      </c>
      <c r="B699" s="503" t="s">
        <v>2501</v>
      </c>
      <c r="C699" s="514">
        <v>0</v>
      </c>
      <c r="D699" s="514">
        <v>0</v>
      </c>
      <c r="E699" s="514">
        <v>0</v>
      </c>
      <c r="F699" s="514">
        <v>0</v>
      </c>
      <c r="G699" s="514">
        <v>0</v>
      </c>
      <c r="H699" s="514">
        <v>0</v>
      </c>
      <c r="I699" s="514">
        <v>0</v>
      </c>
      <c r="J699" s="514">
        <v>0</v>
      </c>
      <c r="K699" s="514">
        <v>0</v>
      </c>
      <c r="L699" s="514">
        <v>0</v>
      </c>
      <c r="M699" s="514">
        <v>0</v>
      </c>
      <c r="N699" s="514">
        <v>0</v>
      </c>
      <c r="O699" s="499"/>
      <c r="P699" s="499"/>
      <c r="Q699" s="499"/>
    </row>
    <row r="700" spans="1:17" ht="14.4" x14ac:dyDescent="0.3">
      <c r="A700" s="502">
        <v>1510510</v>
      </c>
      <c r="B700" s="503" t="s">
        <v>2502</v>
      </c>
      <c r="C700" s="514">
        <v>0</v>
      </c>
      <c r="D700" s="514">
        <v>0</v>
      </c>
      <c r="E700" s="514">
        <v>0</v>
      </c>
      <c r="F700" s="514">
        <v>0</v>
      </c>
      <c r="G700" s="514">
        <v>0</v>
      </c>
      <c r="H700" s="514">
        <v>0</v>
      </c>
      <c r="I700" s="514">
        <v>0</v>
      </c>
      <c r="J700" s="514">
        <v>0</v>
      </c>
      <c r="K700" s="514">
        <v>0</v>
      </c>
      <c r="L700" s="514">
        <v>0</v>
      </c>
      <c r="M700" s="514">
        <v>0</v>
      </c>
      <c r="N700" s="514">
        <v>0</v>
      </c>
      <c r="O700" s="499"/>
      <c r="P700" s="499"/>
      <c r="Q700" s="499"/>
    </row>
    <row r="701" spans="1:17" ht="14.4" x14ac:dyDescent="0.3">
      <c r="A701" s="502">
        <v>1510520</v>
      </c>
      <c r="B701" s="503" t="s">
        <v>2503</v>
      </c>
      <c r="C701" s="514">
        <v>0</v>
      </c>
      <c r="D701" s="514">
        <v>0</v>
      </c>
      <c r="E701" s="514">
        <v>0</v>
      </c>
      <c r="F701" s="514">
        <v>0</v>
      </c>
      <c r="G701" s="514">
        <v>0</v>
      </c>
      <c r="H701" s="514">
        <v>0</v>
      </c>
      <c r="I701" s="514">
        <v>0</v>
      </c>
      <c r="J701" s="514">
        <v>0</v>
      </c>
      <c r="K701" s="514">
        <v>0</v>
      </c>
      <c r="L701" s="514">
        <v>0</v>
      </c>
      <c r="M701" s="514">
        <v>0</v>
      </c>
      <c r="N701" s="514">
        <v>0</v>
      </c>
      <c r="O701" s="499"/>
      <c r="P701" s="499"/>
      <c r="Q701" s="499"/>
    </row>
    <row r="702" spans="1:17" ht="14.4" x14ac:dyDescent="0.3">
      <c r="A702" s="502">
        <v>1510610</v>
      </c>
      <c r="B702" s="503" t="s">
        <v>2504</v>
      </c>
      <c r="C702" s="514">
        <v>0</v>
      </c>
      <c r="D702" s="514">
        <v>0</v>
      </c>
      <c r="E702" s="514">
        <v>0</v>
      </c>
      <c r="F702" s="514">
        <v>0</v>
      </c>
      <c r="G702" s="514">
        <v>0</v>
      </c>
      <c r="H702" s="514">
        <v>0</v>
      </c>
      <c r="I702" s="514">
        <v>0</v>
      </c>
      <c r="J702" s="514">
        <v>0</v>
      </c>
      <c r="K702" s="514">
        <v>0</v>
      </c>
      <c r="L702" s="514">
        <v>0</v>
      </c>
      <c r="M702" s="514">
        <v>0</v>
      </c>
      <c r="N702" s="514">
        <v>0</v>
      </c>
      <c r="O702" s="499"/>
      <c r="P702" s="499"/>
      <c r="Q702" s="499"/>
    </row>
    <row r="703" spans="1:17" ht="14.4" x14ac:dyDescent="0.3">
      <c r="A703" s="502">
        <v>1520010</v>
      </c>
      <c r="B703" s="503" t="s">
        <v>2505</v>
      </c>
      <c r="C703" s="514">
        <v>0</v>
      </c>
      <c r="D703" s="514">
        <v>0</v>
      </c>
      <c r="E703" s="514">
        <v>0</v>
      </c>
      <c r="F703" s="514">
        <v>0</v>
      </c>
      <c r="G703" s="514">
        <v>0</v>
      </c>
      <c r="H703" s="514">
        <v>0</v>
      </c>
      <c r="I703" s="514">
        <v>0</v>
      </c>
      <c r="J703" s="514">
        <v>0</v>
      </c>
      <c r="K703" s="514">
        <v>0</v>
      </c>
      <c r="L703" s="514">
        <v>0</v>
      </c>
      <c r="M703" s="514">
        <v>0</v>
      </c>
      <c r="N703" s="514">
        <v>0</v>
      </c>
      <c r="O703" s="499"/>
      <c r="P703" s="499"/>
      <c r="Q703" s="499"/>
    </row>
    <row r="704" spans="1:17" ht="14.4" x14ac:dyDescent="0.3">
      <c r="A704" s="502">
        <v>1520020</v>
      </c>
      <c r="B704" s="503" t="s">
        <v>2506</v>
      </c>
      <c r="C704" s="514">
        <v>0</v>
      </c>
      <c r="D704" s="514">
        <v>0</v>
      </c>
      <c r="E704" s="514">
        <v>0</v>
      </c>
      <c r="F704" s="514">
        <v>0</v>
      </c>
      <c r="G704" s="514">
        <v>0</v>
      </c>
      <c r="H704" s="514">
        <v>0</v>
      </c>
      <c r="I704" s="514">
        <v>0</v>
      </c>
      <c r="J704" s="514">
        <v>0</v>
      </c>
      <c r="K704" s="514">
        <v>0</v>
      </c>
      <c r="L704" s="514">
        <v>0</v>
      </c>
      <c r="M704" s="514">
        <v>0</v>
      </c>
      <c r="N704" s="514">
        <v>0</v>
      </c>
      <c r="O704" s="499"/>
      <c r="P704" s="499"/>
      <c r="Q704" s="499"/>
    </row>
    <row r="705" spans="1:17" ht="14.4" x14ac:dyDescent="0.3">
      <c r="A705" s="502">
        <v>1520030</v>
      </c>
      <c r="B705" s="503" t="s">
        <v>2507</v>
      </c>
      <c r="C705" s="514">
        <v>0</v>
      </c>
      <c r="D705" s="514">
        <v>0</v>
      </c>
      <c r="E705" s="514">
        <v>0</v>
      </c>
      <c r="F705" s="514">
        <v>0</v>
      </c>
      <c r="G705" s="514">
        <v>0</v>
      </c>
      <c r="H705" s="514">
        <v>0</v>
      </c>
      <c r="I705" s="514">
        <v>0</v>
      </c>
      <c r="J705" s="514">
        <v>0</v>
      </c>
      <c r="K705" s="514">
        <v>0</v>
      </c>
      <c r="L705" s="514">
        <v>0</v>
      </c>
      <c r="M705" s="514">
        <v>0</v>
      </c>
      <c r="N705" s="514">
        <v>0</v>
      </c>
      <c r="O705" s="499"/>
      <c r="P705" s="499"/>
      <c r="Q705" s="499"/>
    </row>
    <row r="706" spans="1:17" ht="14.4" x14ac:dyDescent="0.3">
      <c r="A706" s="502">
        <v>1520040</v>
      </c>
      <c r="B706" s="503" t="s">
        <v>2508</v>
      </c>
      <c r="C706" s="514">
        <v>0</v>
      </c>
      <c r="D706" s="514">
        <v>0</v>
      </c>
      <c r="E706" s="514">
        <v>0</v>
      </c>
      <c r="F706" s="514">
        <v>0</v>
      </c>
      <c r="G706" s="514">
        <v>0</v>
      </c>
      <c r="H706" s="514">
        <v>0</v>
      </c>
      <c r="I706" s="514">
        <v>0</v>
      </c>
      <c r="J706" s="514">
        <v>0</v>
      </c>
      <c r="K706" s="514">
        <v>0</v>
      </c>
      <c r="L706" s="514">
        <v>0</v>
      </c>
      <c r="M706" s="514">
        <v>0</v>
      </c>
      <c r="N706" s="514">
        <v>0</v>
      </c>
      <c r="O706" s="499"/>
      <c r="P706" s="499"/>
      <c r="Q706" s="499"/>
    </row>
    <row r="707" spans="1:17" ht="14.4" x14ac:dyDescent="0.3">
      <c r="A707" s="502">
        <v>1520050</v>
      </c>
      <c r="B707" s="503" t="s">
        <v>2509</v>
      </c>
      <c r="C707" s="514">
        <v>0</v>
      </c>
      <c r="D707" s="514">
        <v>0</v>
      </c>
      <c r="E707" s="514">
        <v>0</v>
      </c>
      <c r="F707" s="514">
        <v>0</v>
      </c>
      <c r="G707" s="514">
        <v>0</v>
      </c>
      <c r="H707" s="514">
        <v>0</v>
      </c>
      <c r="I707" s="514">
        <v>0</v>
      </c>
      <c r="J707" s="514">
        <v>0</v>
      </c>
      <c r="K707" s="514">
        <v>0</v>
      </c>
      <c r="L707" s="514">
        <v>0</v>
      </c>
      <c r="M707" s="514">
        <v>0</v>
      </c>
      <c r="N707" s="514">
        <v>0</v>
      </c>
      <c r="O707" s="499"/>
      <c r="P707" s="499"/>
      <c r="Q707" s="499"/>
    </row>
    <row r="708" spans="1:17" ht="14.4" x14ac:dyDescent="0.3">
      <c r="A708" s="502">
        <v>1520060</v>
      </c>
      <c r="B708" s="503" t="s">
        <v>2510</v>
      </c>
      <c r="C708" s="514">
        <v>0</v>
      </c>
      <c r="D708" s="514">
        <v>0</v>
      </c>
      <c r="E708" s="514">
        <v>0</v>
      </c>
      <c r="F708" s="514">
        <v>0</v>
      </c>
      <c r="G708" s="514">
        <v>0</v>
      </c>
      <c r="H708" s="514">
        <v>0</v>
      </c>
      <c r="I708" s="514">
        <v>0</v>
      </c>
      <c r="J708" s="514">
        <v>0</v>
      </c>
      <c r="K708" s="514">
        <v>0</v>
      </c>
      <c r="L708" s="514">
        <v>0</v>
      </c>
      <c r="M708" s="514">
        <v>0</v>
      </c>
      <c r="N708" s="514">
        <v>0</v>
      </c>
      <c r="O708" s="499"/>
      <c r="P708" s="499"/>
      <c r="Q708" s="499"/>
    </row>
    <row r="709" spans="1:17" ht="14.4" x14ac:dyDescent="0.3">
      <c r="A709" s="502">
        <v>1520070</v>
      </c>
      <c r="B709" s="503" t="s">
        <v>2511</v>
      </c>
      <c r="C709" s="514">
        <v>0</v>
      </c>
      <c r="D709" s="514">
        <v>0</v>
      </c>
      <c r="E709" s="514">
        <v>0</v>
      </c>
      <c r="F709" s="514">
        <v>0</v>
      </c>
      <c r="G709" s="514">
        <v>0</v>
      </c>
      <c r="H709" s="514">
        <v>0</v>
      </c>
      <c r="I709" s="514">
        <v>0</v>
      </c>
      <c r="J709" s="514">
        <v>0</v>
      </c>
      <c r="K709" s="514">
        <v>0</v>
      </c>
      <c r="L709" s="514">
        <v>0</v>
      </c>
      <c r="M709" s="514">
        <v>0</v>
      </c>
      <c r="N709" s="514">
        <v>0</v>
      </c>
      <c r="O709" s="499"/>
      <c r="P709" s="499"/>
      <c r="Q709" s="499"/>
    </row>
    <row r="710" spans="1:17" ht="14.4" x14ac:dyDescent="0.3">
      <c r="A710" s="502">
        <v>1530610</v>
      </c>
      <c r="B710" s="503" t="s">
        <v>2512</v>
      </c>
      <c r="C710" s="514">
        <v>0</v>
      </c>
      <c r="D710" s="514">
        <v>0</v>
      </c>
      <c r="E710" s="514">
        <v>0</v>
      </c>
      <c r="F710" s="514">
        <v>0</v>
      </c>
      <c r="G710" s="514">
        <v>0</v>
      </c>
      <c r="H710" s="514">
        <v>0</v>
      </c>
      <c r="I710" s="514">
        <v>0</v>
      </c>
      <c r="J710" s="514">
        <v>0</v>
      </c>
      <c r="K710" s="514">
        <v>0</v>
      </c>
      <c r="L710" s="514">
        <v>0</v>
      </c>
      <c r="M710" s="514">
        <v>0</v>
      </c>
      <c r="N710" s="514">
        <v>0</v>
      </c>
      <c r="O710" s="499"/>
      <c r="P710" s="499"/>
      <c r="Q710" s="499"/>
    </row>
    <row r="711" spans="1:17" ht="14.4" x14ac:dyDescent="0.3">
      <c r="A711" s="502">
        <v>1530620</v>
      </c>
      <c r="B711" s="503" t="s">
        <v>2513</v>
      </c>
      <c r="C711" s="514">
        <v>0</v>
      </c>
      <c r="D711" s="514">
        <v>0</v>
      </c>
      <c r="E711" s="514">
        <v>0</v>
      </c>
      <c r="F711" s="514">
        <v>0</v>
      </c>
      <c r="G711" s="514">
        <v>0</v>
      </c>
      <c r="H711" s="514">
        <v>0</v>
      </c>
      <c r="I711" s="514">
        <v>0</v>
      </c>
      <c r="J711" s="514">
        <v>0</v>
      </c>
      <c r="K711" s="514">
        <v>0</v>
      </c>
      <c r="L711" s="514">
        <v>0</v>
      </c>
      <c r="M711" s="514">
        <v>0</v>
      </c>
      <c r="N711" s="514">
        <v>0</v>
      </c>
      <c r="O711" s="499"/>
      <c r="P711" s="499"/>
      <c r="Q711" s="499"/>
    </row>
    <row r="712" spans="1:17" ht="14.4" x14ac:dyDescent="0.3">
      <c r="A712" s="502">
        <v>1530630</v>
      </c>
      <c r="B712" s="503" t="s">
        <v>2514</v>
      </c>
      <c r="C712" s="514">
        <v>0</v>
      </c>
      <c r="D712" s="514">
        <v>0</v>
      </c>
      <c r="E712" s="514">
        <v>0</v>
      </c>
      <c r="F712" s="514">
        <v>0</v>
      </c>
      <c r="G712" s="514">
        <v>0</v>
      </c>
      <c r="H712" s="514">
        <v>0</v>
      </c>
      <c r="I712" s="514">
        <v>0</v>
      </c>
      <c r="J712" s="514">
        <v>0</v>
      </c>
      <c r="K712" s="514">
        <v>0</v>
      </c>
      <c r="L712" s="514">
        <v>0</v>
      </c>
      <c r="M712" s="514">
        <v>0</v>
      </c>
      <c r="N712" s="514">
        <v>0</v>
      </c>
      <c r="O712" s="499"/>
      <c r="P712" s="499"/>
      <c r="Q712" s="499"/>
    </row>
    <row r="713" spans="1:17" ht="14.4" x14ac:dyDescent="0.3">
      <c r="A713" s="502">
        <v>1530640</v>
      </c>
      <c r="B713" s="503" t="s">
        <v>2515</v>
      </c>
      <c r="C713" s="514">
        <v>0</v>
      </c>
      <c r="D713" s="514">
        <v>0</v>
      </c>
      <c r="E713" s="514">
        <v>0</v>
      </c>
      <c r="F713" s="514">
        <v>0</v>
      </c>
      <c r="G713" s="514">
        <v>0</v>
      </c>
      <c r="H713" s="514">
        <v>0</v>
      </c>
      <c r="I713" s="514">
        <v>0</v>
      </c>
      <c r="J713" s="514">
        <v>0</v>
      </c>
      <c r="K713" s="514">
        <v>0</v>
      </c>
      <c r="L713" s="514">
        <v>0</v>
      </c>
      <c r="M713" s="514">
        <v>0</v>
      </c>
      <c r="N713" s="514">
        <v>0</v>
      </c>
      <c r="O713" s="499"/>
      <c r="P713" s="499"/>
      <c r="Q713" s="499"/>
    </row>
    <row r="714" spans="1:17" ht="14.4" x14ac:dyDescent="0.3">
      <c r="A714" s="502">
        <v>1530650</v>
      </c>
      <c r="B714" s="503" t="s">
        <v>2516</v>
      </c>
      <c r="C714" s="514">
        <v>0</v>
      </c>
      <c r="D714" s="514">
        <v>0</v>
      </c>
      <c r="E714" s="514">
        <v>0</v>
      </c>
      <c r="F714" s="514">
        <v>0</v>
      </c>
      <c r="G714" s="514">
        <v>0</v>
      </c>
      <c r="H714" s="514">
        <v>0</v>
      </c>
      <c r="I714" s="514">
        <v>0</v>
      </c>
      <c r="J714" s="514">
        <v>0</v>
      </c>
      <c r="K714" s="514">
        <v>0</v>
      </c>
      <c r="L714" s="514">
        <v>0</v>
      </c>
      <c r="M714" s="514">
        <v>0</v>
      </c>
      <c r="N714" s="514">
        <v>0</v>
      </c>
      <c r="O714" s="499"/>
      <c r="P714" s="499"/>
      <c r="Q714" s="499"/>
    </row>
    <row r="715" spans="1:17" ht="14.4" x14ac:dyDescent="0.3">
      <c r="A715" s="502">
        <v>1530660</v>
      </c>
      <c r="B715" s="503" t="s">
        <v>2517</v>
      </c>
      <c r="C715" s="514">
        <v>0</v>
      </c>
      <c r="D715" s="514">
        <v>0</v>
      </c>
      <c r="E715" s="514">
        <v>0</v>
      </c>
      <c r="F715" s="514">
        <v>0</v>
      </c>
      <c r="G715" s="514">
        <v>0</v>
      </c>
      <c r="H715" s="514">
        <v>0</v>
      </c>
      <c r="I715" s="514">
        <v>0</v>
      </c>
      <c r="J715" s="514">
        <v>0</v>
      </c>
      <c r="K715" s="514">
        <v>0</v>
      </c>
      <c r="L715" s="514">
        <v>0</v>
      </c>
      <c r="M715" s="514">
        <v>0</v>
      </c>
      <c r="N715" s="514">
        <v>0</v>
      </c>
      <c r="O715" s="499"/>
      <c r="P715" s="499"/>
      <c r="Q715" s="499"/>
    </row>
    <row r="716" spans="1:17" ht="14.4" x14ac:dyDescent="0.3">
      <c r="A716" s="502">
        <v>1530690</v>
      </c>
      <c r="B716" s="503" t="s">
        <v>2518</v>
      </c>
      <c r="C716" s="514">
        <v>0</v>
      </c>
      <c r="D716" s="514">
        <v>0</v>
      </c>
      <c r="E716" s="514">
        <v>0</v>
      </c>
      <c r="F716" s="514">
        <v>0</v>
      </c>
      <c r="G716" s="514">
        <v>0</v>
      </c>
      <c r="H716" s="514">
        <v>0</v>
      </c>
      <c r="I716" s="514">
        <v>0</v>
      </c>
      <c r="J716" s="514">
        <v>0</v>
      </c>
      <c r="K716" s="514">
        <v>0</v>
      </c>
      <c r="L716" s="514">
        <v>0</v>
      </c>
      <c r="M716" s="514">
        <v>0</v>
      </c>
      <c r="N716" s="514">
        <v>0</v>
      </c>
      <c r="O716" s="499"/>
      <c r="P716" s="499"/>
      <c r="Q716" s="499"/>
    </row>
    <row r="717" spans="1:17" ht="14.4" x14ac:dyDescent="0.3">
      <c r="A717" s="502">
        <v>1540000</v>
      </c>
      <c r="B717" s="503" t="s">
        <v>2519</v>
      </c>
      <c r="C717" s="514">
        <v>171614000</v>
      </c>
      <c r="D717" s="514">
        <v>171614000</v>
      </c>
      <c r="E717" s="514">
        <v>171614000</v>
      </c>
      <c r="F717" s="514">
        <v>171614000</v>
      </c>
      <c r="G717" s="514">
        <v>171614000</v>
      </c>
      <c r="H717" s="514">
        <v>171614000</v>
      </c>
      <c r="I717" s="514">
        <v>171614000</v>
      </c>
      <c r="J717" s="514">
        <v>171614000</v>
      </c>
      <c r="K717" s="514">
        <v>171614000</v>
      </c>
      <c r="L717" s="514">
        <v>171614000</v>
      </c>
      <c r="M717" s="514">
        <v>171614000</v>
      </c>
      <c r="N717" s="514">
        <v>171614000</v>
      </c>
      <c r="O717" s="499"/>
      <c r="P717" s="499"/>
      <c r="Q717" s="499"/>
    </row>
    <row r="718" spans="1:17" ht="14.4" x14ac:dyDescent="0.3">
      <c r="A718" s="502">
        <v>1540001</v>
      </c>
      <c r="B718" s="503" t="s">
        <v>2520</v>
      </c>
      <c r="C718" s="514">
        <v>0</v>
      </c>
      <c r="D718" s="514">
        <v>0</v>
      </c>
      <c r="E718" s="514">
        <v>0</v>
      </c>
      <c r="F718" s="514">
        <v>0</v>
      </c>
      <c r="G718" s="514">
        <v>0</v>
      </c>
      <c r="H718" s="514">
        <v>0</v>
      </c>
      <c r="I718" s="514">
        <v>0</v>
      </c>
      <c r="J718" s="514">
        <v>0</v>
      </c>
      <c r="K718" s="514">
        <v>0</v>
      </c>
      <c r="L718" s="514">
        <v>0</v>
      </c>
      <c r="M718" s="514">
        <v>0</v>
      </c>
      <c r="N718" s="514">
        <v>0</v>
      </c>
      <c r="O718" s="499"/>
      <c r="P718" s="499"/>
      <c r="Q718" s="499"/>
    </row>
    <row r="719" spans="1:17" ht="14.4" x14ac:dyDescent="0.3">
      <c r="A719" s="502">
        <v>1550000</v>
      </c>
      <c r="B719" s="503" t="s">
        <v>2521</v>
      </c>
      <c r="C719" s="514">
        <v>0</v>
      </c>
      <c r="D719" s="514">
        <v>0</v>
      </c>
      <c r="E719" s="514">
        <v>0</v>
      </c>
      <c r="F719" s="514">
        <v>0</v>
      </c>
      <c r="G719" s="514">
        <v>0</v>
      </c>
      <c r="H719" s="514">
        <v>0</v>
      </c>
      <c r="I719" s="514">
        <v>0</v>
      </c>
      <c r="J719" s="514">
        <v>0</v>
      </c>
      <c r="K719" s="514">
        <v>0</v>
      </c>
      <c r="L719" s="514">
        <v>0</v>
      </c>
      <c r="M719" s="514">
        <v>0</v>
      </c>
      <c r="N719" s="514">
        <v>0</v>
      </c>
      <c r="O719" s="499"/>
      <c r="P719" s="499"/>
      <c r="Q719" s="499"/>
    </row>
    <row r="720" spans="1:17" ht="14.4" x14ac:dyDescent="0.3">
      <c r="A720" s="502">
        <v>1550001</v>
      </c>
      <c r="B720" s="503" t="s">
        <v>2522</v>
      </c>
      <c r="C720" s="514">
        <v>0</v>
      </c>
      <c r="D720" s="514">
        <v>0</v>
      </c>
      <c r="E720" s="514">
        <v>0</v>
      </c>
      <c r="F720" s="514">
        <v>0</v>
      </c>
      <c r="G720" s="514">
        <v>0</v>
      </c>
      <c r="H720" s="514">
        <v>0</v>
      </c>
      <c r="I720" s="514">
        <v>0</v>
      </c>
      <c r="J720" s="514">
        <v>0</v>
      </c>
      <c r="K720" s="514">
        <v>0</v>
      </c>
      <c r="L720" s="514">
        <v>0</v>
      </c>
      <c r="M720" s="514">
        <v>0</v>
      </c>
      <c r="N720" s="514">
        <v>0</v>
      </c>
      <c r="O720" s="499"/>
      <c r="P720" s="499"/>
      <c r="Q720" s="499"/>
    </row>
    <row r="721" spans="1:17" ht="14.4" x14ac:dyDescent="0.3">
      <c r="A721" s="502">
        <v>1560000</v>
      </c>
      <c r="B721" s="503" t="s">
        <v>2523</v>
      </c>
      <c r="C721" s="514">
        <v>0</v>
      </c>
      <c r="D721" s="514">
        <v>0</v>
      </c>
      <c r="E721" s="514">
        <v>0</v>
      </c>
      <c r="F721" s="514">
        <v>0</v>
      </c>
      <c r="G721" s="514">
        <v>0</v>
      </c>
      <c r="H721" s="514">
        <v>0</v>
      </c>
      <c r="I721" s="514">
        <v>0</v>
      </c>
      <c r="J721" s="514">
        <v>0</v>
      </c>
      <c r="K721" s="514">
        <v>0</v>
      </c>
      <c r="L721" s="514">
        <v>0</v>
      </c>
      <c r="M721" s="514">
        <v>0</v>
      </c>
      <c r="N721" s="514">
        <v>0</v>
      </c>
      <c r="O721" s="499"/>
      <c r="P721" s="499"/>
      <c r="Q721" s="499"/>
    </row>
    <row r="722" spans="1:17" ht="14.4" x14ac:dyDescent="0.3">
      <c r="A722" s="502">
        <v>1581000</v>
      </c>
      <c r="B722" s="503" t="s">
        <v>2524</v>
      </c>
      <c r="C722" s="514">
        <v>0</v>
      </c>
      <c r="D722" s="514">
        <v>0</v>
      </c>
      <c r="E722" s="514">
        <v>0</v>
      </c>
      <c r="F722" s="514">
        <v>0</v>
      </c>
      <c r="G722" s="514">
        <v>0</v>
      </c>
      <c r="H722" s="514">
        <v>0</v>
      </c>
      <c r="I722" s="514">
        <v>0</v>
      </c>
      <c r="J722" s="514">
        <v>0</v>
      </c>
      <c r="K722" s="514">
        <v>0</v>
      </c>
      <c r="L722" s="514">
        <v>0</v>
      </c>
      <c r="M722" s="514">
        <v>0</v>
      </c>
      <c r="N722" s="514">
        <v>0</v>
      </c>
      <c r="O722" s="499"/>
      <c r="P722" s="499"/>
      <c r="Q722" s="499"/>
    </row>
    <row r="723" spans="1:17" ht="14.4" x14ac:dyDescent="0.3">
      <c r="A723" s="502">
        <v>1582000</v>
      </c>
      <c r="B723" s="503" t="s">
        <v>2525</v>
      </c>
      <c r="C723" s="514">
        <v>0</v>
      </c>
      <c r="D723" s="514">
        <v>0</v>
      </c>
      <c r="E723" s="514">
        <v>0</v>
      </c>
      <c r="F723" s="514">
        <v>0</v>
      </c>
      <c r="G723" s="514">
        <v>0</v>
      </c>
      <c r="H723" s="514">
        <v>0</v>
      </c>
      <c r="I723" s="514">
        <v>0</v>
      </c>
      <c r="J723" s="514">
        <v>0</v>
      </c>
      <c r="K723" s="514">
        <v>0</v>
      </c>
      <c r="L723" s="514">
        <v>0</v>
      </c>
      <c r="M723" s="514">
        <v>0</v>
      </c>
      <c r="N723" s="514">
        <v>0</v>
      </c>
      <c r="O723" s="499"/>
      <c r="P723" s="499"/>
      <c r="Q723" s="499"/>
    </row>
    <row r="724" spans="1:17" ht="14.4" x14ac:dyDescent="0.3">
      <c r="A724" s="502">
        <v>1630000</v>
      </c>
      <c r="B724" s="503" t="s">
        <v>2526</v>
      </c>
      <c r="C724" s="514">
        <v>0</v>
      </c>
      <c r="D724" s="514">
        <v>0</v>
      </c>
      <c r="E724" s="514">
        <v>0</v>
      </c>
      <c r="F724" s="514">
        <v>0</v>
      </c>
      <c r="G724" s="514">
        <v>0</v>
      </c>
      <c r="H724" s="514">
        <v>0</v>
      </c>
      <c r="I724" s="514">
        <v>0</v>
      </c>
      <c r="J724" s="514">
        <v>0</v>
      </c>
      <c r="K724" s="514">
        <v>0</v>
      </c>
      <c r="L724" s="514">
        <v>0</v>
      </c>
      <c r="M724" s="514">
        <v>0</v>
      </c>
      <c r="N724" s="514">
        <v>0</v>
      </c>
      <c r="O724" s="499"/>
      <c r="P724" s="499"/>
      <c r="Q724" s="499"/>
    </row>
    <row r="725" spans="1:17" ht="14.4" x14ac:dyDescent="0.3">
      <c r="A725" s="502">
        <v>1641000</v>
      </c>
      <c r="B725" s="503" t="s">
        <v>2527</v>
      </c>
      <c r="C725" s="514">
        <v>0</v>
      </c>
      <c r="D725" s="514">
        <v>0</v>
      </c>
      <c r="E725" s="514">
        <v>0</v>
      </c>
      <c r="F725" s="514">
        <v>0</v>
      </c>
      <c r="G725" s="514">
        <v>0</v>
      </c>
      <c r="H725" s="514">
        <v>0</v>
      </c>
      <c r="I725" s="514">
        <v>0</v>
      </c>
      <c r="J725" s="514">
        <v>0</v>
      </c>
      <c r="K725" s="514">
        <v>0</v>
      </c>
      <c r="L725" s="514">
        <v>0</v>
      </c>
      <c r="M725" s="514">
        <v>0</v>
      </c>
      <c r="N725" s="514">
        <v>0</v>
      </c>
      <c r="O725" s="499"/>
      <c r="P725" s="499"/>
      <c r="Q725" s="499"/>
    </row>
    <row r="726" spans="1:17" ht="14.4" x14ac:dyDescent="0.3">
      <c r="A726" s="502">
        <v>1641010</v>
      </c>
      <c r="B726" s="503" t="s">
        <v>2528</v>
      </c>
      <c r="C726" s="514">
        <v>0</v>
      </c>
      <c r="D726" s="514">
        <v>0</v>
      </c>
      <c r="E726" s="514">
        <v>0</v>
      </c>
      <c r="F726" s="514">
        <v>0</v>
      </c>
      <c r="G726" s="514">
        <v>0</v>
      </c>
      <c r="H726" s="514">
        <v>0</v>
      </c>
      <c r="I726" s="514">
        <v>0</v>
      </c>
      <c r="J726" s="514">
        <v>0</v>
      </c>
      <c r="K726" s="514">
        <v>0</v>
      </c>
      <c r="L726" s="514">
        <v>0</v>
      </c>
      <c r="M726" s="514">
        <v>0</v>
      </c>
      <c r="N726" s="514">
        <v>0</v>
      </c>
      <c r="O726" s="499"/>
      <c r="P726" s="499"/>
      <c r="Q726" s="499"/>
    </row>
    <row r="727" spans="1:17" ht="14.4" x14ac:dyDescent="0.3">
      <c r="A727" s="502">
        <v>1642000</v>
      </c>
      <c r="B727" s="503" t="s">
        <v>2529</v>
      </c>
      <c r="C727" s="514">
        <v>0</v>
      </c>
      <c r="D727" s="514">
        <v>0</v>
      </c>
      <c r="E727" s="514">
        <v>0</v>
      </c>
      <c r="F727" s="514">
        <v>0</v>
      </c>
      <c r="G727" s="514">
        <v>0</v>
      </c>
      <c r="H727" s="514">
        <v>0</v>
      </c>
      <c r="I727" s="514">
        <v>0</v>
      </c>
      <c r="J727" s="514">
        <v>0</v>
      </c>
      <c r="K727" s="514">
        <v>0</v>
      </c>
      <c r="L727" s="514">
        <v>0</v>
      </c>
      <c r="M727" s="514">
        <v>0</v>
      </c>
      <c r="N727" s="514">
        <v>0</v>
      </c>
      <c r="O727" s="499"/>
      <c r="P727" s="499"/>
      <c r="Q727" s="499"/>
    </row>
    <row r="728" spans="1:17" ht="14.4" x14ac:dyDescent="0.3">
      <c r="A728" s="502">
        <v>1643000</v>
      </c>
      <c r="B728" s="503" t="s">
        <v>2530</v>
      </c>
      <c r="C728" s="514">
        <v>0</v>
      </c>
      <c r="D728" s="514">
        <v>0</v>
      </c>
      <c r="E728" s="514">
        <v>0</v>
      </c>
      <c r="F728" s="514">
        <v>0</v>
      </c>
      <c r="G728" s="514">
        <v>0</v>
      </c>
      <c r="H728" s="514">
        <v>0</v>
      </c>
      <c r="I728" s="514">
        <v>0</v>
      </c>
      <c r="J728" s="514">
        <v>0</v>
      </c>
      <c r="K728" s="514">
        <v>0</v>
      </c>
      <c r="L728" s="514">
        <v>0</v>
      </c>
      <c r="M728" s="514">
        <v>0</v>
      </c>
      <c r="N728" s="514">
        <v>0</v>
      </c>
      <c r="O728" s="499"/>
      <c r="P728" s="499"/>
      <c r="Q728" s="499"/>
    </row>
    <row r="729" spans="1:17" ht="14.4" x14ac:dyDescent="0.3">
      <c r="A729" s="502">
        <v>1650005</v>
      </c>
      <c r="B729" s="503" t="s">
        <v>2531</v>
      </c>
      <c r="C729" s="514">
        <v>0</v>
      </c>
      <c r="D729" s="514">
        <v>0</v>
      </c>
      <c r="E729" s="514">
        <v>0</v>
      </c>
      <c r="F729" s="514">
        <v>0</v>
      </c>
      <c r="G729" s="514">
        <v>0</v>
      </c>
      <c r="H729" s="514">
        <v>0</v>
      </c>
      <c r="I729" s="514">
        <v>0</v>
      </c>
      <c r="J729" s="514">
        <v>0</v>
      </c>
      <c r="K729" s="514">
        <v>0</v>
      </c>
      <c r="L729" s="514">
        <v>0</v>
      </c>
      <c r="M729" s="514">
        <v>0</v>
      </c>
      <c r="N729" s="514">
        <v>0</v>
      </c>
      <c r="O729" s="499"/>
      <c r="P729" s="499"/>
      <c r="Q729" s="499"/>
    </row>
    <row r="730" spans="1:17" ht="14.4" x14ac:dyDescent="0.3">
      <c r="A730" s="502">
        <v>1650010</v>
      </c>
      <c r="B730" s="503" t="s">
        <v>2532</v>
      </c>
      <c r="C730" s="514">
        <v>0</v>
      </c>
      <c r="D730" s="514">
        <v>0</v>
      </c>
      <c r="E730" s="514">
        <v>0</v>
      </c>
      <c r="F730" s="514">
        <v>0</v>
      </c>
      <c r="G730" s="514">
        <v>0</v>
      </c>
      <c r="H730" s="514">
        <v>0</v>
      </c>
      <c r="I730" s="514">
        <v>0</v>
      </c>
      <c r="J730" s="514">
        <v>0</v>
      </c>
      <c r="K730" s="514">
        <v>0</v>
      </c>
      <c r="L730" s="514">
        <v>0</v>
      </c>
      <c r="M730" s="514">
        <v>0</v>
      </c>
      <c r="N730" s="514">
        <v>0</v>
      </c>
      <c r="O730" s="499"/>
      <c r="P730" s="499"/>
      <c r="Q730" s="499"/>
    </row>
    <row r="731" spans="1:17" ht="14.4" x14ac:dyDescent="0.3">
      <c r="A731" s="502">
        <v>1650011</v>
      </c>
      <c r="B731" s="503" t="s">
        <v>2533</v>
      </c>
      <c r="C731" s="514">
        <v>0</v>
      </c>
      <c r="D731" s="514">
        <v>0</v>
      </c>
      <c r="E731" s="514">
        <v>0</v>
      </c>
      <c r="F731" s="514">
        <v>0</v>
      </c>
      <c r="G731" s="514">
        <v>0</v>
      </c>
      <c r="H731" s="514">
        <v>0</v>
      </c>
      <c r="I731" s="514">
        <v>0</v>
      </c>
      <c r="J731" s="514">
        <v>0</v>
      </c>
      <c r="K731" s="514">
        <v>0</v>
      </c>
      <c r="L731" s="514">
        <v>0</v>
      </c>
      <c r="M731" s="514">
        <v>0</v>
      </c>
      <c r="N731" s="514">
        <v>0</v>
      </c>
      <c r="O731" s="499"/>
      <c r="P731" s="499"/>
      <c r="Q731" s="499"/>
    </row>
    <row r="732" spans="1:17" ht="14.4" x14ac:dyDescent="0.3">
      <c r="A732" s="502">
        <v>1650020</v>
      </c>
      <c r="B732" s="503" t="s">
        <v>2534</v>
      </c>
      <c r="C732" s="514">
        <v>0</v>
      </c>
      <c r="D732" s="514">
        <v>0</v>
      </c>
      <c r="E732" s="514">
        <v>0</v>
      </c>
      <c r="F732" s="514">
        <v>0</v>
      </c>
      <c r="G732" s="514">
        <v>0</v>
      </c>
      <c r="H732" s="514">
        <v>0</v>
      </c>
      <c r="I732" s="514">
        <v>0</v>
      </c>
      <c r="J732" s="514">
        <v>0</v>
      </c>
      <c r="K732" s="514">
        <v>0</v>
      </c>
      <c r="L732" s="514">
        <v>0</v>
      </c>
      <c r="M732" s="514">
        <v>0</v>
      </c>
      <c r="N732" s="514">
        <v>0</v>
      </c>
      <c r="O732" s="499"/>
      <c r="P732" s="499"/>
      <c r="Q732" s="499"/>
    </row>
    <row r="733" spans="1:17" ht="14.4" x14ac:dyDescent="0.3">
      <c r="A733" s="502">
        <v>1650030</v>
      </c>
      <c r="B733" s="503" t="s">
        <v>2535</v>
      </c>
      <c r="C733" s="514">
        <v>0</v>
      </c>
      <c r="D733" s="514">
        <v>0</v>
      </c>
      <c r="E733" s="514">
        <v>0</v>
      </c>
      <c r="F733" s="514">
        <v>0</v>
      </c>
      <c r="G733" s="514">
        <v>0</v>
      </c>
      <c r="H733" s="514">
        <v>0</v>
      </c>
      <c r="I733" s="514">
        <v>0</v>
      </c>
      <c r="J733" s="514">
        <v>0</v>
      </c>
      <c r="K733" s="514">
        <v>0</v>
      </c>
      <c r="L733" s="514">
        <v>0</v>
      </c>
      <c r="M733" s="514">
        <v>0</v>
      </c>
      <c r="N733" s="514">
        <v>0</v>
      </c>
      <c r="O733" s="499"/>
      <c r="P733" s="499"/>
      <c r="Q733" s="499"/>
    </row>
    <row r="734" spans="1:17" ht="14.4" x14ac:dyDescent="0.3">
      <c r="A734" s="502">
        <v>1650040</v>
      </c>
      <c r="B734" s="503" t="s">
        <v>2536</v>
      </c>
      <c r="C734" s="514">
        <v>0</v>
      </c>
      <c r="D734" s="514">
        <v>0</v>
      </c>
      <c r="E734" s="514">
        <v>0</v>
      </c>
      <c r="F734" s="514">
        <v>0</v>
      </c>
      <c r="G734" s="514">
        <v>0</v>
      </c>
      <c r="H734" s="514">
        <v>0</v>
      </c>
      <c r="I734" s="514">
        <v>0</v>
      </c>
      <c r="J734" s="514">
        <v>0</v>
      </c>
      <c r="K734" s="514">
        <v>0</v>
      </c>
      <c r="L734" s="514">
        <v>0</v>
      </c>
      <c r="M734" s="514">
        <v>0</v>
      </c>
      <c r="N734" s="514">
        <v>0</v>
      </c>
      <c r="O734" s="499"/>
      <c r="P734" s="499"/>
      <c r="Q734" s="499"/>
    </row>
    <row r="735" spans="1:17" ht="14.4" x14ac:dyDescent="0.3">
      <c r="A735" s="502">
        <v>1650050</v>
      </c>
      <c r="B735" s="503" t="s">
        <v>2537</v>
      </c>
      <c r="C735" s="514">
        <v>2152704.0299999998</v>
      </c>
      <c r="D735" s="514">
        <v>2056069.76</v>
      </c>
      <c r="E735" s="514">
        <v>1959435.49</v>
      </c>
      <c r="F735" s="514">
        <v>1900673.12</v>
      </c>
      <c r="G735" s="514">
        <v>1841910.75</v>
      </c>
      <c r="H735" s="514">
        <v>1783148.38</v>
      </c>
      <c r="I735" s="514">
        <v>1724386.01</v>
      </c>
      <c r="J735" s="514">
        <v>1665623.64</v>
      </c>
      <c r="K735" s="514">
        <v>1606861.27</v>
      </c>
      <c r="L735" s="514">
        <v>1548098.9</v>
      </c>
      <c r="M735" s="514">
        <v>1489336.53</v>
      </c>
      <c r="N735" s="514">
        <v>1430574.16</v>
      </c>
      <c r="O735" s="499"/>
      <c r="P735" s="499"/>
      <c r="Q735" s="499"/>
    </row>
    <row r="736" spans="1:17" ht="14.4" x14ac:dyDescent="0.3">
      <c r="A736" s="502">
        <v>1650051</v>
      </c>
      <c r="B736" s="503" t="s">
        <v>2538</v>
      </c>
      <c r="C736" s="514">
        <v>0</v>
      </c>
      <c r="D736" s="514">
        <v>0</v>
      </c>
      <c r="E736" s="514">
        <v>0</v>
      </c>
      <c r="F736" s="514">
        <v>0</v>
      </c>
      <c r="G736" s="514">
        <v>0</v>
      </c>
      <c r="H736" s="514">
        <v>0</v>
      </c>
      <c r="I736" s="514">
        <v>0</v>
      </c>
      <c r="J736" s="514">
        <v>0</v>
      </c>
      <c r="K736" s="514">
        <v>0</v>
      </c>
      <c r="L736" s="514">
        <v>0</v>
      </c>
      <c r="M736" s="514">
        <v>0</v>
      </c>
      <c r="N736" s="514">
        <v>0</v>
      </c>
      <c r="O736" s="499"/>
      <c r="P736" s="499"/>
      <c r="Q736" s="499"/>
    </row>
    <row r="737" spans="1:17" ht="14.4" x14ac:dyDescent="0.3">
      <c r="A737" s="502">
        <v>1650401</v>
      </c>
      <c r="B737" s="503" t="s">
        <v>2539</v>
      </c>
      <c r="C737" s="514">
        <v>0</v>
      </c>
      <c r="D737" s="514">
        <v>0</v>
      </c>
      <c r="E737" s="514">
        <v>0</v>
      </c>
      <c r="F737" s="514">
        <v>0</v>
      </c>
      <c r="G737" s="514">
        <v>0</v>
      </c>
      <c r="H737" s="514">
        <v>0</v>
      </c>
      <c r="I737" s="514">
        <v>0</v>
      </c>
      <c r="J737" s="514">
        <v>0</v>
      </c>
      <c r="K737" s="514">
        <v>0</v>
      </c>
      <c r="L737" s="514">
        <v>0</v>
      </c>
      <c r="M737" s="514">
        <v>0</v>
      </c>
      <c r="N737" s="514">
        <v>0</v>
      </c>
      <c r="O737" s="499"/>
      <c r="P737" s="499"/>
      <c r="Q737" s="499"/>
    </row>
    <row r="738" spans="1:17" ht="14.4" x14ac:dyDescent="0.3">
      <c r="A738" s="502">
        <v>1650402</v>
      </c>
      <c r="B738" s="503" t="s">
        <v>2540</v>
      </c>
      <c r="C738" s="514">
        <v>228006.6</v>
      </c>
      <c r="D738" s="514">
        <v>228006.6</v>
      </c>
      <c r="E738" s="514">
        <v>580000</v>
      </c>
      <c r="F738" s="514">
        <v>228006.6</v>
      </c>
      <c r="G738" s="514">
        <v>228006.6</v>
      </c>
      <c r="H738" s="514">
        <v>580000</v>
      </c>
      <c r="I738" s="514">
        <v>228006.6</v>
      </c>
      <c r="J738" s="514">
        <v>228006.6</v>
      </c>
      <c r="K738" s="514">
        <v>580000</v>
      </c>
      <c r="L738" s="514">
        <v>228006.6</v>
      </c>
      <c r="M738" s="514">
        <v>228006.6</v>
      </c>
      <c r="N738" s="514">
        <v>580000</v>
      </c>
      <c r="O738" s="499"/>
      <c r="P738" s="499"/>
      <c r="Q738" s="499"/>
    </row>
    <row r="739" spans="1:17" ht="14.4" x14ac:dyDescent="0.3">
      <c r="A739" s="502">
        <v>1650403</v>
      </c>
      <c r="B739" s="503" t="s">
        <v>2541</v>
      </c>
      <c r="C739" s="514">
        <v>233841.3</v>
      </c>
      <c r="D739" s="514">
        <v>233841.3</v>
      </c>
      <c r="E739" s="514">
        <v>504000</v>
      </c>
      <c r="F739" s="514">
        <v>233841.3</v>
      </c>
      <c r="G739" s="514">
        <v>233841.3</v>
      </c>
      <c r="H739" s="514">
        <v>504000</v>
      </c>
      <c r="I739" s="514">
        <v>233841.3</v>
      </c>
      <c r="J739" s="514">
        <v>233841.3</v>
      </c>
      <c r="K739" s="514">
        <v>504000</v>
      </c>
      <c r="L739" s="514">
        <v>233841.3</v>
      </c>
      <c r="M739" s="514">
        <v>233841.3</v>
      </c>
      <c r="N739" s="514">
        <v>504000</v>
      </c>
      <c r="O739" s="499"/>
      <c r="P739" s="499"/>
      <c r="Q739" s="499"/>
    </row>
    <row r="740" spans="1:17" ht="14.4" x14ac:dyDescent="0.3">
      <c r="A740" s="502">
        <v>1650404</v>
      </c>
      <c r="B740" s="503" t="s">
        <v>2542</v>
      </c>
      <c r="C740" s="514">
        <v>244520.2</v>
      </c>
      <c r="D740" s="514">
        <v>244520.2</v>
      </c>
      <c r="E740" s="514">
        <v>170000</v>
      </c>
      <c r="F740" s="514">
        <v>244520.2</v>
      </c>
      <c r="G740" s="514">
        <v>244520.2</v>
      </c>
      <c r="H740" s="514">
        <v>170000</v>
      </c>
      <c r="I740" s="514">
        <v>244520.2</v>
      </c>
      <c r="J740" s="514">
        <v>244520.2</v>
      </c>
      <c r="K740" s="514">
        <v>170000</v>
      </c>
      <c r="L740" s="514">
        <v>244520.2</v>
      </c>
      <c r="M740" s="514">
        <v>244520.2</v>
      </c>
      <c r="N740" s="514">
        <v>170000</v>
      </c>
      <c r="O740" s="499"/>
      <c r="P740" s="499"/>
      <c r="Q740" s="499"/>
    </row>
    <row r="741" spans="1:17" ht="14.4" x14ac:dyDescent="0.3">
      <c r="A741" s="502">
        <v>1650405</v>
      </c>
      <c r="B741" s="503" t="s">
        <v>2543</v>
      </c>
      <c r="C741" s="514">
        <v>303924.8</v>
      </c>
      <c r="D741" s="514">
        <v>303924.8</v>
      </c>
      <c r="E741" s="514">
        <v>179500</v>
      </c>
      <c r="F741" s="514">
        <v>303924.8</v>
      </c>
      <c r="G741" s="514">
        <v>303924.8</v>
      </c>
      <c r="H741" s="514">
        <v>179500</v>
      </c>
      <c r="I741" s="514">
        <v>303924.8</v>
      </c>
      <c r="J741" s="514">
        <v>303924.8</v>
      </c>
      <c r="K741" s="514">
        <v>179500</v>
      </c>
      <c r="L741" s="514">
        <v>303924.8</v>
      </c>
      <c r="M741" s="514">
        <v>303924.8</v>
      </c>
      <c r="N741" s="514">
        <v>179500</v>
      </c>
      <c r="O741" s="499"/>
      <c r="P741" s="499"/>
      <c r="Q741" s="499"/>
    </row>
    <row r="742" spans="1:17" ht="14.4" x14ac:dyDescent="0.3">
      <c r="A742" s="502">
        <v>1650411</v>
      </c>
      <c r="B742" s="503" t="s">
        <v>2544</v>
      </c>
      <c r="C742" s="514">
        <v>0</v>
      </c>
      <c r="D742" s="514">
        <v>0</v>
      </c>
      <c r="E742" s="514">
        <v>0</v>
      </c>
      <c r="F742" s="514">
        <v>0</v>
      </c>
      <c r="G742" s="514">
        <v>0</v>
      </c>
      <c r="H742" s="514">
        <v>0</v>
      </c>
      <c r="I742" s="514">
        <v>0</v>
      </c>
      <c r="J742" s="514">
        <v>0</v>
      </c>
      <c r="K742" s="514">
        <v>0</v>
      </c>
      <c r="L742" s="514">
        <v>0</v>
      </c>
      <c r="M742" s="514">
        <v>0</v>
      </c>
      <c r="N742" s="514">
        <v>0</v>
      </c>
      <c r="O742" s="499"/>
      <c r="P742" s="499"/>
      <c r="Q742" s="499"/>
    </row>
    <row r="743" spans="1:17" ht="14.4" x14ac:dyDescent="0.3">
      <c r="A743" s="502">
        <v>1650412</v>
      </c>
      <c r="B743" s="503" t="s">
        <v>2545</v>
      </c>
      <c r="C743" s="514">
        <v>0</v>
      </c>
      <c r="D743" s="514">
        <v>0</v>
      </c>
      <c r="E743" s="514">
        <v>0</v>
      </c>
      <c r="F743" s="514">
        <v>0</v>
      </c>
      <c r="G743" s="514">
        <v>0</v>
      </c>
      <c r="H743" s="514">
        <v>0</v>
      </c>
      <c r="I743" s="514">
        <v>0</v>
      </c>
      <c r="J743" s="514">
        <v>0</v>
      </c>
      <c r="K743" s="514">
        <v>0</v>
      </c>
      <c r="L743" s="514">
        <v>0</v>
      </c>
      <c r="M743" s="514">
        <v>0</v>
      </c>
      <c r="N743" s="514">
        <v>0</v>
      </c>
      <c r="O743" s="499"/>
      <c r="P743" s="499"/>
      <c r="Q743" s="499"/>
    </row>
    <row r="744" spans="1:17" ht="14.4" x14ac:dyDescent="0.3">
      <c r="A744" s="502">
        <v>1650500</v>
      </c>
      <c r="B744" s="503" t="s">
        <v>2546</v>
      </c>
      <c r="C744" s="514">
        <v>0</v>
      </c>
      <c r="D744" s="514">
        <v>0</v>
      </c>
      <c r="E744" s="514">
        <v>0</v>
      </c>
      <c r="F744" s="514">
        <v>0</v>
      </c>
      <c r="G744" s="514">
        <v>0</v>
      </c>
      <c r="H744" s="514">
        <v>0</v>
      </c>
      <c r="I744" s="514">
        <v>0</v>
      </c>
      <c r="J744" s="514">
        <v>0</v>
      </c>
      <c r="K744" s="514">
        <v>0</v>
      </c>
      <c r="L744" s="514">
        <v>0</v>
      </c>
      <c r="M744" s="514">
        <v>0</v>
      </c>
      <c r="N744" s="514">
        <v>0</v>
      </c>
      <c r="O744" s="499"/>
      <c r="P744" s="499"/>
      <c r="Q744" s="499"/>
    </row>
    <row r="745" spans="1:17" ht="14.4" x14ac:dyDescent="0.3">
      <c r="A745" s="502">
        <v>1650501</v>
      </c>
      <c r="B745" s="503" t="s">
        <v>2547</v>
      </c>
      <c r="C745" s="514">
        <v>0</v>
      </c>
      <c r="D745" s="514">
        <v>0</v>
      </c>
      <c r="E745" s="514">
        <v>0</v>
      </c>
      <c r="F745" s="514">
        <v>0</v>
      </c>
      <c r="G745" s="514">
        <v>0</v>
      </c>
      <c r="H745" s="514">
        <v>0</v>
      </c>
      <c r="I745" s="514">
        <v>0</v>
      </c>
      <c r="J745" s="514">
        <v>0</v>
      </c>
      <c r="K745" s="514">
        <v>0</v>
      </c>
      <c r="L745" s="514">
        <v>0</v>
      </c>
      <c r="M745" s="514">
        <v>0</v>
      </c>
      <c r="N745" s="514">
        <v>0</v>
      </c>
      <c r="O745" s="499"/>
      <c r="P745" s="499"/>
      <c r="Q745" s="499"/>
    </row>
    <row r="746" spans="1:17" ht="14.4" x14ac:dyDescent="0.3">
      <c r="A746" s="502">
        <v>1650502</v>
      </c>
      <c r="B746" s="503" t="s">
        <v>2548</v>
      </c>
      <c r="C746" s="514">
        <v>0</v>
      </c>
      <c r="D746" s="514">
        <v>0</v>
      </c>
      <c r="E746" s="514">
        <v>0</v>
      </c>
      <c r="F746" s="514">
        <v>0</v>
      </c>
      <c r="G746" s="514">
        <v>0</v>
      </c>
      <c r="H746" s="514">
        <v>0</v>
      </c>
      <c r="I746" s="514">
        <v>0</v>
      </c>
      <c r="J746" s="514">
        <v>0</v>
      </c>
      <c r="K746" s="514">
        <v>0</v>
      </c>
      <c r="L746" s="514">
        <v>0</v>
      </c>
      <c r="M746" s="514">
        <v>0</v>
      </c>
      <c r="N746" s="514">
        <v>0</v>
      </c>
      <c r="O746" s="499"/>
      <c r="P746" s="499"/>
      <c r="Q746" s="499"/>
    </row>
    <row r="747" spans="1:17" ht="14.4" x14ac:dyDescent="0.3">
      <c r="A747" s="502">
        <v>1650503</v>
      </c>
      <c r="B747" s="503" t="s">
        <v>2549</v>
      </c>
      <c r="C747" s="514">
        <v>0</v>
      </c>
      <c r="D747" s="514">
        <v>0</v>
      </c>
      <c r="E747" s="514">
        <v>0</v>
      </c>
      <c r="F747" s="514">
        <v>0</v>
      </c>
      <c r="G747" s="514">
        <v>0</v>
      </c>
      <c r="H747" s="514">
        <v>0</v>
      </c>
      <c r="I747" s="514">
        <v>0</v>
      </c>
      <c r="J747" s="514">
        <v>0</v>
      </c>
      <c r="K747" s="514">
        <v>0</v>
      </c>
      <c r="L747" s="514">
        <v>0</v>
      </c>
      <c r="M747" s="514">
        <v>0</v>
      </c>
      <c r="N747" s="514">
        <v>0</v>
      </c>
      <c r="O747" s="499"/>
      <c r="P747" s="499"/>
      <c r="Q747" s="499"/>
    </row>
    <row r="748" spans="1:17" ht="14.4" x14ac:dyDescent="0.3">
      <c r="A748" s="502">
        <v>1650504</v>
      </c>
      <c r="B748" s="503" t="s">
        <v>2550</v>
      </c>
      <c r="C748" s="514">
        <v>0</v>
      </c>
      <c r="D748" s="514">
        <v>0</v>
      </c>
      <c r="E748" s="514">
        <v>0</v>
      </c>
      <c r="F748" s="514">
        <v>0</v>
      </c>
      <c r="G748" s="514">
        <v>0</v>
      </c>
      <c r="H748" s="514">
        <v>0</v>
      </c>
      <c r="I748" s="514">
        <v>0</v>
      </c>
      <c r="J748" s="514">
        <v>0</v>
      </c>
      <c r="K748" s="514">
        <v>0</v>
      </c>
      <c r="L748" s="514">
        <v>0</v>
      </c>
      <c r="M748" s="514">
        <v>0</v>
      </c>
      <c r="N748" s="514">
        <v>0</v>
      </c>
      <c r="O748" s="499"/>
      <c r="P748" s="499"/>
      <c r="Q748" s="499"/>
    </row>
    <row r="749" spans="1:17" ht="14.4" x14ac:dyDescent="0.3">
      <c r="A749" s="502">
        <v>1650505</v>
      </c>
      <c r="B749" s="503" t="s">
        <v>2551</v>
      </c>
      <c r="C749" s="514">
        <v>0</v>
      </c>
      <c r="D749" s="514">
        <v>0</v>
      </c>
      <c r="E749" s="514">
        <v>0</v>
      </c>
      <c r="F749" s="514">
        <v>0</v>
      </c>
      <c r="G749" s="514">
        <v>0</v>
      </c>
      <c r="H749" s="514">
        <v>0</v>
      </c>
      <c r="I749" s="514">
        <v>0</v>
      </c>
      <c r="J749" s="514">
        <v>0</v>
      </c>
      <c r="K749" s="514">
        <v>0</v>
      </c>
      <c r="L749" s="514">
        <v>0</v>
      </c>
      <c r="M749" s="514">
        <v>0</v>
      </c>
      <c r="N749" s="514">
        <v>0</v>
      </c>
      <c r="O749" s="499"/>
      <c r="P749" s="499"/>
      <c r="Q749" s="499"/>
    </row>
    <row r="750" spans="1:17" ht="14.4" x14ac:dyDescent="0.3">
      <c r="A750" s="502">
        <v>1650506</v>
      </c>
      <c r="B750" s="503" t="s">
        <v>2552</v>
      </c>
      <c r="C750" s="514">
        <v>0</v>
      </c>
      <c r="D750" s="514">
        <v>0</v>
      </c>
      <c r="E750" s="514">
        <v>0</v>
      </c>
      <c r="F750" s="514">
        <v>0</v>
      </c>
      <c r="G750" s="514">
        <v>0</v>
      </c>
      <c r="H750" s="514">
        <v>0</v>
      </c>
      <c r="I750" s="514">
        <v>0</v>
      </c>
      <c r="J750" s="514">
        <v>0</v>
      </c>
      <c r="K750" s="514">
        <v>0</v>
      </c>
      <c r="L750" s="514">
        <v>0</v>
      </c>
      <c r="M750" s="514">
        <v>0</v>
      </c>
      <c r="N750" s="514">
        <v>0</v>
      </c>
      <c r="O750" s="499"/>
      <c r="P750" s="499"/>
      <c r="Q750" s="499"/>
    </row>
    <row r="751" spans="1:17" ht="14.4" x14ac:dyDescent="0.3">
      <c r="A751" s="502">
        <v>1650507</v>
      </c>
      <c r="B751" s="503" t="s">
        <v>2553</v>
      </c>
      <c r="C751" s="514">
        <v>0</v>
      </c>
      <c r="D751" s="514">
        <v>0</v>
      </c>
      <c r="E751" s="514">
        <v>0</v>
      </c>
      <c r="F751" s="514">
        <v>0</v>
      </c>
      <c r="G751" s="514">
        <v>0</v>
      </c>
      <c r="H751" s="514">
        <v>0</v>
      </c>
      <c r="I751" s="514">
        <v>0</v>
      </c>
      <c r="J751" s="514">
        <v>0</v>
      </c>
      <c r="K751" s="514">
        <v>0</v>
      </c>
      <c r="L751" s="514">
        <v>0</v>
      </c>
      <c r="M751" s="514">
        <v>0</v>
      </c>
      <c r="N751" s="514">
        <v>0</v>
      </c>
      <c r="O751" s="499"/>
      <c r="P751" s="499"/>
      <c r="Q751" s="499"/>
    </row>
    <row r="752" spans="1:17" ht="14.4" x14ac:dyDescent="0.3">
      <c r="A752" s="502">
        <v>1650508</v>
      </c>
      <c r="B752" s="503" t="s">
        <v>2554</v>
      </c>
      <c r="C752" s="514">
        <v>0</v>
      </c>
      <c r="D752" s="514">
        <v>0</v>
      </c>
      <c r="E752" s="514">
        <v>0</v>
      </c>
      <c r="F752" s="514">
        <v>0</v>
      </c>
      <c r="G752" s="514">
        <v>0</v>
      </c>
      <c r="H752" s="514">
        <v>0</v>
      </c>
      <c r="I752" s="514">
        <v>0</v>
      </c>
      <c r="J752" s="514">
        <v>0</v>
      </c>
      <c r="K752" s="514">
        <v>0</v>
      </c>
      <c r="L752" s="514">
        <v>0</v>
      </c>
      <c r="M752" s="514">
        <v>0</v>
      </c>
      <c r="N752" s="514">
        <v>0</v>
      </c>
      <c r="O752" s="499"/>
      <c r="P752" s="499"/>
      <c r="Q752" s="499"/>
    </row>
    <row r="753" spans="1:17" ht="14.4" x14ac:dyDescent="0.3">
      <c r="A753" s="502">
        <v>1650509</v>
      </c>
      <c r="B753" s="503" t="s">
        <v>2555</v>
      </c>
      <c r="C753" s="514">
        <v>0</v>
      </c>
      <c r="D753" s="514">
        <v>0</v>
      </c>
      <c r="E753" s="514">
        <v>0</v>
      </c>
      <c r="F753" s="514">
        <v>0</v>
      </c>
      <c r="G753" s="514">
        <v>0</v>
      </c>
      <c r="H753" s="514">
        <v>0</v>
      </c>
      <c r="I753" s="514">
        <v>0</v>
      </c>
      <c r="J753" s="514">
        <v>0</v>
      </c>
      <c r="K753" s="514">
        <v>0</v>
      </c>
      <c r="L753" s="514">
        <v>0</v>
      </c>
      <c r="M753" s="514">
        <v>0</v>
      </c>
      <c r="N753" s="514">
        <v>0</v>
      </c>
      <c r="O753" s="499"/>
      <c r="P753" s="499"/>
      <c r="Q753" s="499"/>
    </row>
    <row r="754" spans="1:17" ht="14.4" x14ac:dyDescent="0.3">
      <c r="A754" s="502">
        <v>1650510</v>
      </c>
      <c r="B754" s="503" t="s">
        <v>2556</v>
      </c>
      <c r="C754" s="514">
        <v>0</v>
      </c>
      <c r="D754" s="514">
        <v>0</v>
      </c>
      <c r="E754" s="514">
        <v>0</v>
      </c>
      <c r="F754" s="514">
        <v>0</v>
      </c>
      <c r="G754" s="514">
        <v>0</v>
      </c>
      <c r="H754" s="514">
        <v>0</v>
      </c>
      <c r="I754" s="514">
        <v>0</v>
      </c>
      <c r="J754" s="514">
        <v>0</v>
      </c>
      <c r="K754" s="514">
        <v>0</v>
      </c>
      <c r="L754" s="514">
        <v>0</v>
      </c>
      <c r="M754" s="514">
        <v>0</v>
      </c>
      <c r="N754" s="514">
        <v>0</v>
      </c>
      <c r="O754" s="499"/>
      <c r="P754" s="499"/>
      <c r="Q754" s="499"/>
    </row>
    <row r="755" spans="1:17" ht="14.4" x14ac:dyDescent="0.3">
      <c r="A755" s="502">
        <v>1650511</v>
      </c>
      <c r="B755" s="503" t="s">
        <v>2557</v>
      </c>
      <c r="C755" s="514">
        <v>0</v>
      </c>
      <c r="D755" s="514">
        <v>0</v>
      </c>
      <c r="E755" s="514">
        <v>0</v>
      </c>
      <c r="F755" s="514">
        <v>0</v>
      </c>
      <c r="G755" s="514">
        <v>0</v>
      </c>
      <c r="H755" s="514">
        <v>0</v>
      </c>
      <c r="I755" s="514">
        <v>0</v>
      </c>
      <c r="J755" s="514">
        <v>0</v>
      </c>
      <c r="K755" s="514">
        <v>0</v>
      </c>
      <c r="L755" s="514">
        <v>0</v>
      </c>
      <c r="M755" s="514">
        <v>0</v>
      </c>
      <c r="N755" s="514">
        <v>0</v>
      </c>
      <c r="O755" s="499"/>
      <c r="P755" s="499"/>
      <c r="Q755" s="499"/>
    </row>
    <row r="756" spans="1:17" ht="14.4" x14ac:dyDescent="0.3">
      <c r="A756" s="502">
        <v>1650512</v>
      </c>
      <c r="B756" s="503" t="s">
        <v>2558</v>
      </c>
      <c r="C756" s="514">
        <v>0</v>
      </c>
      <c r="D756" s="514">
        <v>0</v>
      </c>
      <c r="E756" s="514">
        <v>0</v>
      </c>
      <c r="F756" s="514">
        <v>0</v>
      </c>
      <c r="G756" s="514">
        <v>0</v>
      </c>
      <c r="H756" s="514">
        <v>0</v>
      </c>
      <c r="I756" s="514">
        <v>0</v>
      </c>
      <c r="J756" s="514">
        <v>0</v>
      </c>
      <c r="K756" s="514">
        <v>0</v>
      </c>
      <c r="L756" s="514">
        <v>0</v>
      </c>
      <c r="M756" s="514">
        <v>0</v>
      </c>
      <c r="N756" s="514">
        <v>0</v>
      </c>
      <c r="O756" s="499"/>
      <c r="P756" s="499"/>
      <c r="Q756" s="499"/>
    </row>
    <row r="757" spans="1:17" ht="14.4" x14ac:dyDescent="0.3">
      <c r="A757" s="502">
        <v>1650513</v>
      </c>
      <c r="B757" s="503" t="s">
        <v>2559</v>
      </c>
      <c r="C757" s="514">
        <v>0</v>
      </c>
      <c r="D757" s="514">
        <v>0</v>
      </c>
      <c r="E757" s="514">
        <v>0</v>
      </c>
      <c r="F757" s="514">
        <v>0</v>
      </c>
      <c r="G757" s="514">
        <v>0</v>
      </c>
      <c r="H757" s="514">
        <v>0</v>
      </c>
      <c r="I757" s="514">
        <v>0</v>
      </c>
      <c r="J757" s="514">
        <v>0</v>
      </c>
      <c r="K757" s="514">
        <v>0</v>
      </c>
      <c r="L757" s="514">
        <v>0</v>
      </c>
      <c r="M757" s="514">
        <v>0</v>
      </c>
      <c r="N757" s="514">
        <v>0</v>
      </c>
      <c r="O757" s="499"/>
      <c r="P757" s="499"/>
      <c r="Q757" s="499"/>
    </row>
    <row r="758" spans="1:17" ht="14.4" x14ac:dyDescent="0.3">
      <c r="A758" s="502">
        <v>1650514</v>
      </c>
      <c r="B758" s="503" t="s">
        <v>2560</v>
      </c>
      <c r="C758" s="514">
        <v>0</v>
      </c>
      <c r="D758" s="514">
        <v>0</v>
      </c>
      <c r="E758" s="514">
        <v>0</v>
      </c>
      <c r="F758" s="514">
        <v>0</v>
      </c>
      <c r="G758" s="514">
        <v>0</v>
      </c>
      <c r="H758" s="514">
        <v>0</v>
      </c>
      <c r="I758" s="514">
        <v>0</v>
      </c>
      <c r="J758" s="514">
        <v>0</v>
      </c>
      <c r="K758" s="514">
        <v>0</v>
      </c>
      <c r="L758" s="514">
        <v>0</v>
      </c>
      <c r="M758" s="514">
        <v>0</v>
      </c>
      <c r="N758" s="514">
        <v>0</v>
      </c>
      <c r="O758" s="499"/>
      <c r="P758" s="499"/>
      <c r="Q758" s="499"/>
    </row>
    <row r="759" spans="1:17" ht="14.4" x14ac:dyDescent="0.3">
      <c r="A759" s="502">
        <v>1650515</v>
      </c>
      <c r="B759" s="503" t="s">
        <v>2561</v>
      </c>
      <c r="C759" s="514">
        <v>0</v>
      </c>
      <c r="D759" s="514">
        <v>0</v>
      </c>
      <c r="E759" s="514">
        <v>0</v>
      </c>
      <c r="F759" s="514">
        <v>0</v>
      </c>
      <c r="G759" s="514">
        <v>0</v>
      </c>
      <c r="H759" s="514">
        <v>0</v>
      </c>
      <c r="I759" s="514">
        <v>0</v>
      </c>
      <c r="J759" s="514">
        <v>0</v>
      </c>
      <c r="K759" s="514">
        <v>0</v>
      </c>
      <c r="L759" s="514">
        <v>0</v>
      </c>
      <c r="M759" s="514">
        <v>0</v>
      </c>
      <c r="N759" s="514">
        <v>0</v>
      </c>
      <c r="O759" s="499"/>
      <c r="P759" s="499"/>
      <c r="Q759" s="499"/>
    </row>
    <row r="760" spans="1:17" ht="14.4" x14ac:dyDescent="0.3">
      <c r="A760" s="502">
        <v>1650516</v>
      </c>
      <c r="B760" s="503" t="s">
        <v>2562</v>
      </c>
      <c r="C760" s="514">
        <v>0</v>
      </c>
      <c r="D760" s="514">
        <v>0</v>
      </c>
      <c r="E760" s="514">
        <v>0</v>
      </c>
      <c r="F760" s="514">
        <v>0</v>
      </c>
      <c r="G760" s="514">
        <v>0</v>
      </c>
      <c r="H760" s="514">
        <v>0</v>
      </c>
      <c r="I760" s="514">
        <v>0</v>
      </c>
      <c r="J760" s="514">
        <v>0</v>
      </c>
      <c r="K760" s="514">
        <v>0</v>
      </c>
      <c r="L760" s="514">
        <v>0</v>
      </c>
      <c r="M760" s="514">
        <v>0</v>
      </c>
      <c r="N760" s="514">
        <v>0</v>
      </c>
      <c r="O760" s="499"/>
      <c r="P760" s="499"/>
      <c r="Q760" s="499"/>
    </row>
    <row r="761" spans="1:17" ht="14.4" x14ac:dyDescent="0.3">
      <c r="A761" s="502">
        <v>1650517</v>
      </c>
      <c r="B761" s="503" t="s">
        <v>2563</v>
      </c>
      <c r="C761" s="514">
        <v>0</v>
      </c>
      <c r="D761" s="514">
        <v>0</v>
      </c>
      <c r="E761" s="514">
        <v>0</v>
      </c>
      <c r="F761" s="514">
        <v>0</v>
      </c>
      <c r="G761" s="514">
        <v>0</v>
      </c>
      <c r="H761" s="514">
        <v>0</v>
      </c>
      <c r="I761" s="514">
        <v>0</v>
      </c>
      <c r="J761" s="514">
        <v>0</v>
      </c>
      <c r="K761" s="514">
        <v>0</v>
      </c>
      <c r="L761" s="514">
        <v>0</v>
      </c>
      <c r="M761" s="514">
        <v>0</v>
      </c>
      <c r="N761" s="514">
        <v>0</v>
      </c>
      <c r="O761" s="499"/>
      <c r="P761" s="499"/>
      <c r="Q761" s="499"/>
    </row>
    <row r="762" spans="1:17" ht="14.4" x14ac:dyDescent="0.3">
      <c r="A762" s="502">
        <v>1650518</v>
      </c>
      <c r="B762" s="503" t="s">
        <v>2564</v>
      </c>
      <c r="C762" s="514">
        <v>0</v>
      </c>
      <c r="D762" s="514">
        <v>0</v>
      </c>
      <c r="E762" s="514">
        <v>0</v>
      </c>
      <c r="F762" s="514">
        <v>0</v>
      </c>
      <c r="G762" s="514">
        <v>0</v>
      </c>
      <c r="H762" s="514">
        <v>0</v>
      </c>
      <c r="I762" s="514">
        <v>0</v>
      </c>
      <c r="J762" s="514">
        <v>0</v>
      </c>
      <c r="K762" s="514">
        <v>0</v>
      </c>
      <c r="L762" s="514">
        <v>0</v>
      </c>
      <c r="M762" s="514">
        <v>0</v>
      </c>
      <c r="N762" s="514">
        <v>0</v>
      </c>
      <c r="O762" s="499"/>
      <c r="P762" s="499"/>
      <c r="Q762" s="499"/>
    </row>
    <row r="763" spans="1:17" ht="14.4" x14ac:dyDescent="0.3">
      <c r="A763" s="502">
        <v>1650519</v>
      </c>
      <c r="B763" s="503" t="s">
        <v>2565</v>
      </c>
      <c r="C763" s="514">
        <v>0</v>
      </c>
      <c r="D763" s="514">
        <v>0</v>
      </c>
      <c r="E763" s="514">
        <v>0</v>
      </c>
      <c r="F763" s="514">
        <v>0</v>
      </c>
      <c r="G763" s="514">
        <v>0</v>
      </c>
      <c r="H763" s="514">
        <v>0</v>
      </c>
      <c r="I763" s="514">
        <v>0</v>
      </c>
      <c r="J763" s="514">
        <v>0</v>
      </c>
      <c r="K763" s="514">
        <v>0</v>
      </c>
      <c r="L763" s="514">
        <v>0</v>
      </c>
      <c r="M763" s="514">
        <v>0</v>
      </c>
      <c r="N763" s="514">
        <v>0</v>
      </c>
      <c r="O763" s="499"/>
      <c r="P763" s="499"/>
      <c r="Q763" s="499"/>
    </row>
    <row r="764" spans="1:17" ht="14.4" x14ac:dyDescent="0.3">
      <c r="A764" s="502">
        <v>1650520</v>
      </c>
      <c r="B764" s="503" t="s">
        <v>2566</v>
      </c>
      <c r="C764" s="514">
        <v>0</v>
      </c>
      <c r="D764" s="514">
        <v>0</v>
      </c>
      <c r="E764" s="514">
        <v>0</v>
      </c>
      <c r="F764" s="514">
        <v>0</v>
      </c>
      <c r="G764" s="514">
        <v>0</v>
      </c>
      <c r="H764" s="514">
        <v>0</v>
      </c>
      <c r="I764" s="514">
        <v>0</v>
      </c>
      <c r="J764" s="514">
        <v>0</v>
      </c>
      <c r="K764" s="514">
        <v>0</v>
      </c>
      <c r="L764" s="514">
        <v>0</v>
      </c>
      <c r="M764" s="514">
        <v>0</v>
      </c>
      <c r="N764" s="514">
        <v>0</v>
      </c>
      <c r="O764" s="499"/>
      <c r="P764" s="499"/>
      <c r="Q764" s="499"/>
    </row>
    <row r="765" spans="1:17" ht="14.4" x14ac:dyDescent="0.3">
      <c r="A765" s="502">
        <v>1650599</v>
      </c>
      <c r="B765" s="503" t="s">
        <v>2567</v>
      </c>
      <c r="C765" s="514">
        <v>7640058.2999999998</v>
      </c>
      <c r="D765" s="514">
        <v>4962363.93</v>
      </c>
      <c r="E765" s="514">
        <v>15555284.439999999</v>
      </c>
      <c r="F765" s="514">
        <v>12926826.710000001</v>
      </c>
      <c r="G765" s="514">
        <v>10309057.029999999</v>
      </c>
      <c r="H765" s="514">
        <v>27450849.68</v>
      </c>
      <c r="I765" s="514">
        <v>24596680.170000002</v>
      </c>
      <c r="J765" s="514">
        <v>22398172.210000001</v>
      </c>
      <c r="K765" s="514">
        <v>19530827.93</v>
      </c>
      <c r="L765" s="514">
        <v>16663483.65</v>
      </c>
      <c r="M765" s="514">
        <v>13796139.369999999</v>
      </c>
      <c r="N765" s="514">
        <v>11012782.220000001</v>
      </c>
      <c r="O765" s="499"/>
      <c r="P765" s="499"/>
      <c r="Q765" s="499"/>
    </row>
    <row r="766" spans="1:17" ht="14.4" x14ac:dyDescent="0.3">
      <c r="A766" s="502">
        <v>1650800</v>
      </c>
      <c r="B766" s="503" t="s">
        <v>2568</v>
      </c>
      <c r="C766" s="514">
        <v>9543001.6300000008</v>
      </c>
      <c r="D766" s="514">
        <v>9470364.3800000008</v>
      </c>
      <c r="E766" s="514">
        <v>8666665.6799999997</v>
      </c>
      <c r="F766" s="514">
        <v>8176288.2000000002</v>
      </c>
      <c r="G766" s="514">
        <v>7460163.7400000002</v>
      </c>
      <c r="H766" s="514">
        <v>6586084.3399999999</v>
      </c>
      <c r="I766" s="514">
        <v>7531060.3899999997</v>
      </c>
      <c r="J766" s="514">
        <v>7006281.1799999997</v>
      </c>
      <c r="K766" s="514">
        <v>6198898.9800000004</v>
      </c>
      <c r="L766" s="514">
        <v>6029230.1299999999</v>
      </c>
      <c r="M766" s="514">
        <v>5589488.8899999997</v>
      </c>
      <c r="N766" s="514">
        <v>6646921.0700000003</v>
      </c>
      <c r="O766" s="499"/>
      <c r="P766" s="499"/>
      <c r="Q766" s="499"/>
    </row>
    <row r="767" spans="1:17" ht="14.4" x14ac:dyDescent="0.3">
      <c r="A767" s="502">
        <v>1650801</v>
      </c>
      <c r="B767" s="503" t="s">
        <v>2569</v>
      </c>
      <c r="C767" s="514">
        <v>5465000</v>
      </c>
      <c r="D767" s="514">
        <v>4275000</v>
      </c>
      <c r="E767" s="514">
        <v>4250000</v>
      </c>
      <c r="F767" s="514">
        <v>4900000</v>
      </c>
      <c r="G767" s="514">
        <v>5100000</v>
      </c>
      <c r="H767" s="514">
        <v>4700000</v>
      </c>
      <c r="I767" s="514">
        <v>4200000</v>
      </c>
      <c r="J767" s="514">
        <v>3800000</v>
      </c>
      <c r="K767" s="514">
        <v>3300000</v>
      </c>
      <c r="L767" s="514">
        <v>3750000</v>
      </c>
      <c r="M767" s="514">
        <v>4000000</v>
      </c>
      <c r="N767" s="514">
        <v>4500000</v>
      </c>
      <c r="O767" s="499"/>
      <c r="P767" s="499"/>
      <c r="Q767" s="499"/>
    </row>
    <row r="768" spans="1:17" ht="14.4" x14ac:dyDescent="0.3">
      <c r="A768" s="502">
        <v>1650880</v>
      </c>
      <c r="B768" s="503" t="s">
        <v>2570</v>
      </c>
      <c r="C768" s="514">
        <v>0</v>
      </c>
      <c r="D768" s="514">
        <v>0</v>
      </c>
      <c r="E768" s="514">
        <v>0</v>
      </c>
      <c r="F768" s="514">
        <v>0</v>
      </c>
      <c r="G768" s="514">
        <v>0</v>
      </c>
      <c r="H768" s="514">
        <v>0</v>
      </c>
      <c r="I768" s="514">
        <v>0</v>
      </c>
      <c r="J768" s="514">
        <v>0</v>
      </c>
      <c r="K768" s="514">
        <v>0</v>
      </c>
      <c r="L768" s="514">
        <v>0</v>
      </c>
      <c r="M768" s="514">
        <v>0</v>
      </c>
      <c r="N768" s="514">
        <v>0</v>
      </c>
      <c r="O768" s="499"/>
      <c r="P768" s="499"/>
      <c r="Q768" s="499"/>
    </row>
    <row r="769" spans="1:17" ht="14.4" x14ac:dyDescent="0.3">
      <c r="A769" s="502">
        <v>1650881</v>
      </c>
      <c r="B769" s="503" t="s">
        <v>2571</v>
      </c>
      <c r="C769" s="514">
        <v>0</v>
      </c>
      <c r="D769" s="514">
        <v>0</v>
      </c>
      <c r="E769" s="514">
        <v>0</v>
      </c>
      <c r="F769" s="514">
        <v>0</v>
      </c>
      <c r="G769" s="514">
        <v>0</v>
      </c>
      <c r="H769" s="514">
        <v>0</v>
      </c>
      <c r="I769" s="514">
        <v>0</v>
      </c>
      <c r="J769" s="514">
        <v>0</v>
      </c>
      <c r="K769" s="514">
        <v>0</v>
      </c>
      <c r="L769" s="514">
        <v>0</v>
      </c>
      <c r="M769" s="514">
        <v>0</v>
      </c>
      <c r="N769" s="514">
        <v>0</v>
      </c>
      <c r="O769" s="499"/>
      <c r="P769" s="499"/>
      <c r="Q769" s="499"/>
    </row>
    <row r="770" spans="1:17" ht="14.4" x14ac:dyDescent="0.3">
      <c r="A770" s="502">
        <v>1650882</v>
      </c>
      <c r="B770" s="503" t="s">
        <v>2572</v>
      </c>
      <c r="C770" s="514">
        <v>0</v>
      </c>
      <c r="D770" s="514">
        <v>0</v>
      </c>
      <c r="E770" s="514">
        <v>0</v>
      </c>
      <c r="F770" s="514">
        <v>0</v>
      </c>
      <c r="G770" s="514">
        <v>0</v>
      </c>
      <c r="H770" s="514">
        <v>0</v>
      </c>
      <c r="I770" s="514">
        <v>0</v>
      </c>
      <c r="J770" s="514">
        <v>0</v>
      </c>
      <c r="K770" s="514">
        <v>0</v>
      </c>
      <c r="L770" s="514">
        <v>0</v>
      </c>
      <c r="M770" s="514">
        <v>0</v>
      </c>
      <c r="N770" s="514">
        <v>0</v>
      </c>
      <c r="O770" s="499"/>
      <c r="P770" s="499"/>
      <c r="Q770" s="499"/>
    </row>
    <row r="771" spans="1:17" ht="14.4" x14ac:dyDescent="0.3">
      <c r="A771" s="502">
        <v>1710000</v>
      </c>
      <c r="B771" s="503" t="s">
        <v>2573</v>
      </c>
      <c r="C771" s="514">
        <v>0</v>
      </c>
      <c r="D771" s="514">
        <v>0</v>
      </c>
      <c r="E771" s="514">
        <v>0</v>
      </c>
      <c r="F771" s="514">
        <v>0</v>
      </c>
      <c r="G771" s="514">
        <v>0</v>
      </c>
      <c r="H771" s="514">
        <v>0</v>
      </c>
      <c r="I771" s="514">
        <v>0</v>
      </c>
      <c r="J771" s="514">
        <v>0</v>
      </c>
      <c r="K771" s="514">
        <v>0</v>
      </c>
      <c r="L771" s="514">
        <v>0</v>
      </c>
      <c r="M771" s="514">
        <v>0</v>
      </c>
      <c r="N771" s="514">
        <v>0</v>
      </c>
      <c r="O771" s="499"/>
      <c r="P771" s="499"/>
      <c r="Q771" s="499"/>
    </row>
    <row r="772" spans="1:17" ht="14.4" x14ac:dyDescent="0.3">
      <c r="A772" s="502">
        <v>1720000</v>
      </c>
      <c r="B772" s="503" t="s">
        <v>2574</v>
      </c>
      <c r="C772" s="514">
        <v>0</v>
      </c>
      <c r="D772" s="514">
        <v>0</v>
      </c>
      <c r="E772" s="514">
        <v>0</v>
      </c>
      <c r="F772" s="514">
        <v>0</v>
      </c>
      <c r="G772" s="514">
        <v>0</v>
      </c>
      <c r="H772" s="514">
        <v>0</v>
      </c>
      <c r="I772" s="514">
        <v>0</v>
      </c>
      <c r="J772" s="514">
        <v>0</v>
      </c>
      <c r="K772" s="514">
        <v>0</v>
      </c>
      <c r="L772" s="514">
        <v>0</v>
      </c>
      <c r="M772" s="514">
        <v>0</v>
      </c>
      <c r="N772" s="514">
        <v>0</v>
      </c>
      <c r="O772" s="499"/>
      <c r="P772" s="499"/>
      <c r="Q772" s="499"/>
    </row>
    <row r="773" spans="1:17" ht="14.4" x14ac:dyDescent="0.3">
      <c r="A773" s="502">
        <v>1720101</v>
      </c>
      <c r="B773" s="503" t="s">
        <v>2575</v>
      </c>
      <c r="C773" s="514">
        <v>0</v>
      </c>
      <c r="D773" s="514">
        <v>0</v>
      </c>
      <c r="E773" s="514">
        <v>0</v>
      </c>
      <c r="F773" s="514">
        <v>0</v>
      </c>
      <c r="G773" s="514">
        <v>0</v>
      </c>
      <c r="H773" s="514">
        <v>0</v>
      </c>
      <c r="I773" s="514">
        <v>0</v>
      </c>
      <c r="J773" s="514">
        <v>0</v>
      </c>
      <c r="K773" s="514">
        <v>0</v>
      </c>
      <c r="L773" s="514">
        <v>0</v>
      </c>
      <c r="M773" s="514">
        <v>0</v>
      </c>
      <c r="N773" s="514">
        <v>0</v>
      </c>
      <c r="O773" s="499"/>
      <c r="P773" s="499"/>
      <c r="Q773" s="499"/>
    </row>
    <row r="774" spans="1:17" ht="14.4" x14ac:dyDescent="0.3">
      <c r="A774" s="502">
        <v>1720201</v>
      </c>
      <c r="B774" s="503" t="s">
        <v>2576</v>
      </c>
      <c r="C774" s="514">
        <v>0</v>
      </c>
      <c r="D774" s="514">
        <v>0</v>
      </c>
      <c r="E774" s="514">
        <v>0</v>
      </c>
      <c r="F774" s="514">
        <v>0</v>
      </c>
      <c r="G774" s="514">
        <v>0</v>
      </c>
      <c r="H774" s="514">
        <v>0</v>
      </c>
      <c r="I774" s="514">
        <v>0</v>
      </c>
      <c r="J774" s="514">
        <v>0</v>
      </c>
      <c r="K774" s="514">
        <v>0</v>
      </c>
      <c r="L774" s="514">
        <v>0</v>
      </c>
      <c r="M774" s="514">
        <v>0</v>
      </c>
      <c r="N774" s="514">
        <v>0</v>
      </c>
      <c r="O774" s="499"/>
      <c r="P774" s="499"/>
      <c r="Q774" s="499"/>
    </row>
    <row r="775" spans="1:17" ht="14.4" x14ac:dyDescent="0.3">
      <c r="A775" s="502">
        <v>1720202</v>
      </c>
      <c r="B775" s="503" t="s">
        <v>2577</v>
      </c>
      <c r="C775" s="514">
        <v>0</v>
      </c>
      <c r="D775" s="514">
        <v>0</v>
      </c>
      <c r="E775" s="514">
        <v>0</v>
      </c>
      <c r="F775" s="514">
        <v>0</v>
      </c>
      <c r="G775" s="514">
        <v>0</v>
      </c>
      <c r="H775" s="514">
        <v>0</v>
      </c>
      <c r="I775" s="514">
        <v>0</v>
      </c>
      <c r="J775" s="514">
        <v>0</v>
      </c>
      <c r="K775" s="514">
        <v>0</v>
      </c>
      <c r="L775" s="514">
        <v>0</v>
      </c>
      <c r="M775" s="514">
        <v>0</v>
      </c>
      <c r="N775" s="514">
        <v>0</v>
      </c>
      <c r="O775" s="499"/>
      <c r="P775" s="499"/>
      <c r="Q775" s="499"/>
    </row>
    <row r="776" spans="1:17" ht="14.4" x14ac:dyDescent="0.3">
      <c r="A776" s="502">
        <v>1730100</v>
      </c>
      <c r="B776" s="503" t="s">
        <v>2578</v>
      </c>
      <c r="C776" s="514">
        <v>71063303</v>
      </c>
      <c r="D776" s="514">
        <v>65981929</v>
      </c>
      <c r="E776" s="514">
        <v>70683795</v>
      </c>
      <c r="F776" s="514">
        <v>75108777</v>
      </c>
      <c r="G776" s="514">
        <v>85499276</v>
      </c>
      <c r="H776" s="514">
        <v>89089146</v>
      </c>
      <c r="I776" s="514">
        <v>91555935</v>
      </c>
      <c r="J776" s="514">
        <v>96194927</v>
      </c>
      <c r="K776" s="514">
        <v>87114900</v>
      </c>
      <c r="L776" s="514">
        <v>82124529</v>
      </c>
      <c r="M776" s="514">
        <v>72930596</v>
      </c>
      <c r="N776" s="514">
        <v>73385642</v>
      </c>
      <c r="O776" s="499"/>
      <c r="P776" s="499"/>
      <c r="Q776" s="499"/>
    </row>
    <row r="777" spans="1:17" ht="14.4" x14ac:dyDescent="0.3">
      <c r="A777" s="502">
        <v>1730200</v>
      </c>
      <c r="B777" s="503" t="s">
        <v>2579</v>
      </c>
      <c r="C777" s="514">
        <v>0</v>
      </c>
      <c r="D777" s="514">
        <v>0</v>
      </c>
      <c r="E777" s="514">
        <v>0</v>
      </c>
      <c r="F777" s="514">
        <v>0</v>
      </c>
      <c r="G777" s="514">
        <v>0</v>
      </c>
      <c r="H777" s="514">
        <v>0</v>
      </c>
      <c r="I777" s="514">
        <v>0</v>
      </c>
      <c r="J777" s="514">
        <v>0</v>
      </c>
      <c r="K777" s="514">
        <v>0</v>
      </c>
      <c r="L777" s="514">
        <v>0</v>
      </c>
      <c r="M777" s="514">
        <v>0</v>
      </c>
      <c r="N777" s="514">
        <v>0</v>
      </c>
      <c r="O777" s="499"/>
      <c r="P777" s="499"/>
      <c r="Q777" s="499"/>
    </row>
    <row r="778" spans="1:17" ht="14.4" x14ac:dyDescent="0.3">
      <c r="A778" s="502">
        <v>1740100</v>
      </c>
      <c r="B778" s="503" t="s">
        <v>2580</v>
      </c>
      <c r="C778" s="514">
        <v>0</v>
      </c>
      <c r="D778" s="514">
        <v>0</v>
      </c>
      <c r="E778" s="514">
        <v>0</v>
      </c>
      <c r="F778" s="514">
        <v>0</v>
      </c>
      <c r="G778" s="514">
        <v>0</v>
      </c>
      <c r="H778" s="514">
        <v>0</v>
      </c>
      <c r="I778" s="514">
        <v>0</v>
      </c>
      <c r="J778" s="514">
        <v>0</v>
      </c>
      <c r="K778" s="514">
        <v>0</v>
      </c>
      <c r="L778" s="514">
        <v>0</v>
      </c>
      <c r="M778" s="514">
        <v>0</v>
      </c>
      <c r="N778" s="514">
        <v>0</v>
      </c>
      <c r="O778" s="499"/>
      <c r="P778" s="499"/>
      <c r="Q778" s="499"/>
    </row>
    <row r="779" spans="1:17" ht="14.4" x14ac:dyDescent="0.3">
      <c r="A779" s="502">
        <v>1740200</v>
      </c>
      <c r="B779" s="503" t="s">
        <v>2581</v>
      </c>
      <c r="C779" s="514">
        <v>0</v>
      </c>
      <c r="D779" s="514">
        <v>0</v>
      </c>
      <c r="E779" s="514">
        <v>0</v>
      </c>
      <c r="F779" s="514">
        <v>0</v>
      </c>
      <c r="G779" s="514">
        <v>0</v>
      </c>
      <c r="H779" s="514">
        <v>0</v>
      </c>
      <c r="I779" s="514">
        <v>0</v>
      </c>
      <c r="J779" s="514">
        <v>0</v>
      </c>
      <c r="K779" s="514">
        <v>0</v>
      </c>
      <c r="L779" s="514">
        <v>0</v>
      </c>
      <c r="M779" s="514">
        <v>0</v>
      </c>
      <c r="N779" s="514">
        <v>0</v>
      </c>
      <c r="O779" s="499"/>
      <c r="P779" s="499"/>
      <c r="Q779" s="499"/>
    </row>
    <row r="780" spans="1:17" ht="14.4" x14ac:dyDescent="0.3">
      <c r="A780" s="502">
        <v>1740300</v>
      </c>
      <c r="B780" s="503" t="s">
        <v>2582</v>
      </c>
      <c r="C780" s="514">
        <v>0</v>
      </c>
      <c r="D780" s="514">
        <v>0</v>
      </c>
      <c r="E780" s="514">
        <v>0</v>
      </c>
      <c r="F780" s="514">
        <v>0</v>
      </c>
      <c r="G780" s="514">
        <v>0</v>
      </c>
      <c r="H780" s="514">
        <v>0</v>
      </c>
      <c r="I780" s="514">
        <v>0</v>
      </c>
      <c r="J780" s="514">
        <v>0</v>
      </c>
      <c r="K780" s="514">
        <v>0</v>
      </c>
      <c r="L780" s="514">
        <v>0</v>
      </c>
      <c r="M780" s="514">
        <v>0</v>
      </c>
      <c r="N780" s="514">
        <v>0</v>
      </c>
      <c r="O780" s="499"/>
      <c r="P780" s="499"/>
      <c r="Q780" s="499"/>
    </row>
    <row r="781" spans="1:17" ht="14.4" x14ac:dyDescent="0.3">
      <c r="A781" s="502">
        <v>1740400</v>
      </c>
      <c r="B781" s="503" t="s">
        <v>2583</v>
      </c>
      <c r="C781" s="514">
        <v>0</v>
      </c>
      <c r="D781" s="514">
        <v>0</v>
      </c>
      <c r="E781" s="514">
        <v>0</v>
      </c>
      <c r="F781" s="514">
        <v>0</v>
      </c>
      <c r="G781" s="514">
        <v>0</v>
      </c>
      <c r="H781" s="514">
        <v>0</v>
      </c>
      <c r="I781" s="514">
        <v>0</v>
      </c>
      <c r="J781" s="514">
        <v>0</v>
      </c>
      <c r="K781" s="514">
        <v>0</v>
      </c>
      <c r="L781" s="514">
        <v>0</v>
      </c>
      <c r="M781" s="514">
        <v>0</v>
      </c>
      <c r="N781" s="514">
        <v>0</v>
      </c>
      <c r="O781" s="499"/>
      <c r="P781" s="499"/>
      <c r="Q781" s="499"/>
    </row>
    <row r="782" spans="1:17" ht="14.4" x14ac:dyDescent="0.3">
      <c r="A782" s="502">
        <v>1760100</v>
      </c>
      <c r="B782" s="503" t="s">
        <v>2584</v>
      </c>
      <c r="C782" s="514">
        <v>0</v>
      </c>
      <c r="D782" s="514">
        <v>0</v>
      </c>
      <c r="E782" s="514">
        <v>0</v>
      </c>
      <c r="F782" s="514">
        <v>0</v>
      </c>
      <c r="G782" s="514">
        <v>0</v>
      </c>
      <c r="H782" s="514">
        <v>0</v>
      </c>
      <c r="I782" s="514">
        <v>0</v>
      </c>
      <c r="J782" s="514">
        <v>0</v>
      </c>
      <c r="K782" s="514">
        <v>0</v>
      </c>
      <c r="L782" s="514">
        <v>0</v>
      </c>
      <c r="M782" s="514">
        <v>0</v>
      </c>
      <c r="N782" s="514">
        <v>0</v>
      </c>
      <c r="O782" s="499"/>
      <c r="P782" s="499"/>
      <c r="Q782" s="499"/>
    </row>
    <row r="783" spans="1:17" ht="14.4" x14ac:dyDescent="0.3">
      <c r="A783" s="504">
        <v>1760110</v>
      </c>
      <c r="B783" s="505" t="s">
        <v>2585</v>
      </c>
      <c r="C783" s="514">
        <v>0</v>
      </c>
      <c r="D783" s="514">
        <v>0</v>
      </c>
      <c r="E783" s="514">
        <v>0</v>
      </c>
      <c r="F783" s="514">
        <v>0</v>
      </c>
      <c r="G783" s="514">
        <v>0</v>
      </c>
      <c r="H783" s="514">
        <v>0</v>
      </c>
      <c r="I783" s="514">
        <v>0</v>
      </c>
      <c r="J783" s="514">
        <v>0</v>
      </c>
      <c r="K783" s="514">
        <v>0</v>
      </c>
      <c r="L783" s="514">
        <v>0</v>
      </c>
      <c r="M783" s="514">
        <v>0</v>
      </c>
      <c r="N783" s="514">
        <v>0</v>
      </c>
      <c r="O783" s="499"/>
      <c r="P783" s="499"/>
      <c r="Q783" s="499"/>
    </row>
    <row r="784" spans="1:17" ht="14.4" x14ac:dyDescent="0.3">
      <c r="A784" s="504">
        <v>1760120</v>
      </c>
      <c r="B784" s="505" t="s">
        <v>2586</v>
      </c>
      <c r="C784" s="514">
        <v>0</v>
      </c>
      <c r="D784" s="514">
        <v>0</v>
      </c>
      <c r="E784" s="514">
        <v>0</v>
      </c>
      <c r="F784" s="514">
        <v>0</v>
      </c>
      <c r="G784" s="514">
        <v>0</v>
      </c>
      <c r="H784" s="514">
        <v>0</v>
      </c>
      <c r="I784" s="514">
        <v>0</v>
      </c>
      <c r="J784" s="514">
        <v>0</v>
      </c>
      <c r="K784" s="514">
        <v>0</v>
      </c>
      <c r="L784" s="514">
        <v>0</v>
      </c>
      <c r="M784" s="514">
        <v>0</v>
      </c>
      <c r="N784" s="514">
        <v>0</v>
      </c>
      <c r="O784" s="499"/>
      <c r="P784" s="499"/>
      <c r="Q784" s="499"/>
    </row>
    <row r="785" spans="1:17" ht="14.4" x14ac:dyDescent="0.3">
      <c r="A785" s="504">
        <v>1760200</v>
      </c>
      <c r="B785" s="505" t="s">
        <v>2587</v>
      </c>
      <c r="C785" s="514">
        <v>0</v>
      </c>
      <c r="D785" s="514">
        <v>0</v>
      </c>
      <c r="E785" s="514">
        <v>0</v>
      </c>
      <c r="F785" s="514">
        <v>0</v>
      </c>
      <c r="G785" s="514">
        <v>0</v>
      </c>
      <c r="H785" s="514">
        <v>0</v>
      </c>
      <c r="I785" s="514">
        <v>0</v>
      </c>
      <c r="J785" s="514">
        <v>0</v>
      </c>
      <c r="K785" s="514">
        <v>0</v>
      </c>
      <c r="L785" s="514">
        <v>0</v>
      </c>
      <c r="M785" s="514">
        <v>0</v>
      </c>
      <c r="N785" s="514">
        <v>0</v>
      </c>
      <c r="O785" s="499"/>
      <c r="P785" s="499"/>
      <c r="Q785" s="499"/>
    </row>
    <row r="786" spans="1:17" ht="14.4" x14ac:dyDescent="0.3">
      <c r="A786" s="502">
        <v>1760210</v>
      </c>
      <c r="B786" s="503" t="s">
        <v>2588</v>
      </c>
      <c r="C786" s="514">
        <v>0</v>
      </c>
      <c r="D786" s="514">
        <v>0</v>
      </c>
      <c r="E786" s="514">
        <v>0</v>
      </c>
      <c r="F786" s="514">
        <v>0</v>
      </c>
      <c r="G786" s="514">
        <v>0</v>
      </c>
      <c r="H786" s="514">
        <v>0</v>
      </c>
      <c r="I786" s="514">
        <v>0</v>
      </c>
      <c r="J786" s="514">
        <v>0</v>
      </c>
      <c r="K786" s="514">
        <v>0</v>
      </c>
      <c r="L786" s="514">
        <v>0</v>
      </c>
      <c r="M786" s="514">
        <v>0</v>
      </c>
      <c r="N786" s="514">
        <v>0</v>
      </c>
      <c r="O786" s="499"/>
      <c r="P786" s="499"/>
      <c r="Q786" s="499"/>
    </row>
    <row r="787" spans="1:17" ht="14.4" x14ac:dyDescent="0.3">
      <c r="A787" s="502">
        <v>1760700</v>
      </c>
      <c r="B787" s="503" t="s">
        <v>2589</v>
      </c>
      <c r="C787" s="514">
        <v>0</v>
      </c>
      <c r="D787" s="514">
        <v>0</v>
      </c>
      <c r="E787" s="514">
        <v>0</v>
      </c>
      <c r="F787" s="514">
        <v>528000</v>
      </c>
      <c r="G787" s="514">
        <v>528000</v>
      </c>
      <c r="H787" s="514">
        <v>528000</v>
      </c>
      <c r="I787" s="514">
        <v>528000</v>
      </c>
      <c r="J787" s="514">
        <v>528000</v>
      </c>
      <c r="K787" s="514">
        <v>528000</v>
      </c>
      <c r="L787" s="514">
        <v>528000</v>
      </c>
      <c r="M787" s="514">
        <v>528000</v>
      </c>
      <c r="N787" s="514">
        <v>528000</v>
      </c>
      <c r="O787" s="499"/>
      <c r="P787" s="499"/>
      <c r="Q787" s="499"/>
    </row>
    <row r="788" spans="1:17" ht="14.4" x14ac:dyDescent="0.3">
      <c r="A788" s="502">
        <v>1760710</v>
      </c>
      <c r="B788" s="503" t="s">
        <v>2590</v>
      </c>
      <c r="C788" s="514">
        <v>0</v>
      </c>
      <c r="D788" s="514">
        <v>0</v>
      </c>
      <c r="E788" s="514">
        <v>0</v>
      </c>
      <c r="F788" s="514">
        <v>0</v>
      </c>
      <c r="G788" s="514">
        <v>0</v>
      </c>
      <c r="H788" s="514">
        <v>0</v>
      </c>
      <c r="I788" s="514">
        <v>0</v>
      </c>
      <c r="J788" s="514">
        <v>0</v>
      </c>
      <c r="K788" s="514">
        <v>0</v>
      </c>
      <c r="L788" s="514">
        <v>0</v>
      </c>
      <c r="M788" s="514">
        <v>0</v>
      </c>
      <c r="N788" s="514">
        <v>0</v>
      </c>
      <c r="O788" s="499"/>
      <c r="P788" s="499"/>
      <c r="Q788" s="499"/>
    </row>
    <row r="789" spans="1:17" ht="14.4" x14ac:dyDescent="0.3">
      <c r="A789" s="502">
        <v>1760720</v>
      </c>
      <c r="B789" s="503" t="s">
        <v>2591</v>
      </c>
      <c r="C789" s="514">
        <v>528000</v>
      </c>
      <c r="D789" s="514">
        <v>528000</v>
      </c>
      <c r="E789" s="514">
        <v>528000</v>
      </c>
      <c r="F789" s="514">
        <v>0</v>
      </c>
      <c r="G789" s="514">
        <v>0</v>
      </c>
      <c r="H789" s="514">
        <v>0</v>
      </c>
      <c r="I789" s="514">
        <v>0</v>
      </c>
      <c r="J789" s="514">
        <v>0</v>
      </c>
      <c r="K789" s="514">
        <v>0</v>
      </c>
      <c r="L789" s="514">
        <v>0</v>
      </c>
      <c r="M789" s="514">
        <v>0</v>
      </c>
      <c r="N789" s="514">
        <v>0</v>
      </c>
      <c r="O789" s="499"/>
      <c r="P789" s="499"/>
      <c r="Q789" s="499"/>
    </row>
    <row r="790" spans="1:17" ht="14.4" x14ac:dyDescent="0.3">
      <c r="A790" s="502">
        <v>1760730</v>
      </c>
      <c r="B790" s="503" t="s">
        <v>2592</v>
      </c>
      <c r="C790" s="514">
        <v>0</v>
      </c>
      <c r="D790" s="514">
        <v>0</v>
      </c>
      <c r="E790" s="514">
        <v>0</v>
      </c>
      <c r="F790" s="514">
        <v>0</v>
      </c>
      <c r="G790" s="514">
        <v>0</v>
      </c>
      <c r="H790" s="514">
        <v>0</v>
      </c>
      <c r="I790" s="514">
        <v>0</v>
      </c>
      <c r="J790" s="514">
        <v>0</v>
      </c>
      <c r="K790" s="514">
        <v>0</v>
      </c>
      <c r="L790" s="514">
        <v>0</v>
      </c>
      <c r="M790" s="514">
        <v>0</v>
      </c>
      <c r="N790" s="514">
        <v>0</v>
      </c>
      <c r="O790" s="499"/>
      <c r="P790" s="499"/>
      <c r="Q790" s="499"/>
    </row>
    <row r="791" spans="1:17" ht="14.4" x14ac:dyDescent="0.3">
      <c r="A791" s="502">
        <v>1810100</v>
      </c>
      <c r="B791" s="503" t="s">
        <v>2593</v>
      </c>
      <c r="C791" s="514">
        <v>8320.9699999999993</v>
      </c>
      <c r="D791" s="514">
        <v>0</v>
      </c>
      <c r="E791" s="514">
        <v>0</v>
      </c>
      <c r="F791" s="514">
        <v>0</v>
      </c>
      <c r="G791" s="514">
        <v>0</v>
      </c>
      <c r="H791" s="514">
        <v>0</v>
      </c>
      <c r="I791" s="514">
        <v>0</v>
      </c>
      <c r="J791" s="514">
        <v>0</v>
      </c>
      <c r="K791" s="514">
        <v>0</v>
      </c>
      <c r="L791" s="514">
        <v>0</v>
      </c>
      <c r="M791" s="514">
        <v>0</v>
      </c>
      <c r="N791" s="514">
        <v>0</v>
      </c>
      <c r="O791" s="499"/>
      <c r="P791" s="499"/>
      <c r="Q791" s="499"/>
    </row>
    <row r="792" spans="1:17" ht="14.4" x14ac:dyDescent="0.3">
      <c r="A792" s="502">
        <v>1810200</v>
      </c>
      <c r="B792" s="503" t="s">
        <v>2594</v>
      </c>
      <c r="C792" s="514">
        <v>28059413.140000001</v>
      </c>
      <c r="D792" s="514">
        <v>27872556.010000002</v>
      </c>
      <c r="E792" s="514">
        <v>27685698.879999999</v>
      </c>
      <c r="F792" s="514">
        <v>27482175.079999998</v>
      </c>
      <c r="G792" s="514">
        <v>27278651.289999999</v>
      </c>
      <c r="H792" s="514">
        <v>27075127.489999998</v>
      </c>
      <c r="I792" s="514">
        <v>26934883.649999999</v>
      </c>
      <c r="J792" s="514">
        <v>26794639.82</v>
      </c>
      <c r="K792" s="514">
        <v>26641895.98</v>
      </c>
      <c r="L792" s="514">
        <v>26489152.140000001</v>
      </c>
      <c r="M792" s="514">
        <v>26336408.309999999</v>
      </c>
      <c r="N792" s="514">
        <v>26183664.469999999</v>
      </c>
      <c r="O792" s="499"/>
      <c r="P792" s="499"/>
      <c r="Q792" s="499"/>
    </row>
    <row r="793" spans="1:17" ht="14.4" x14ac:dyDescent="0.3">
      <c r="A793" s="502">
        <v>1810210</v>
      </c>
      <c r="B793" s="503" t="s">
        <v>2595</v>
      </c>
      <c r="C793" s="514">
        <v>0</v>
      </c>
      <c r="D793" s="514">
        <v>0</v>
      </c>
      <c r="E793" s="514">
        <v>0</v>
      </c>
      <c r="F793" s="514">
        <v>0</v>
      </c>
      <c r="G793" s="514">
        <v>0</v>
      </c>
      <c r="H793" s="514">
        <v>0</v>
      </c>
      <c r="I793" s="514">
        <v>0</v>
      </c>
      <c r="J793" s="514">
        <v>0</v>
      </c>
      <c r="K793" s="514">
        <v>0</v>
      </c>
      <c r="L793" s="514">
        <v>0</v>
      </c>
      <c r="M793" s="514">
        <v>0</v>
      </c>
      <c r="N793" s="514">
        <v>0</v>
      </c>
      <c r="O793" s="499"/>
      <c r="P793" s="499"/>
      <c r="Q793" s="499"/>
    </row>
    <row r="794" spans="1:17" ht="14.4" x14ac:dyDescent="0.3">
      <c r="A794" s="502">
        <v>1810250</v>
      </c>
      <c r="B794" s="503" t="s">
        <v>2596</v>
      </c>
      <c r="C794" s="514">
        <v>0</v>
      </c>
      <c r="D794" s="514">
        <v>0</v>
      </c>
      <c r="E794" s="514">
        <v>0</v>
      </c>
      <c r="F794" s="514">
        <v>0</v>
      </c>
      <c r="G794" s="514">
        <v>0</v>
      </c>
      <c r="H794" s="514">
        <v>0</v>
      </c>
      <c r="I794" s="514">
        <v>0</v>
      </c>
      <c r="J794" s="514">
        <v>0</v>
      </c>
      <c r="K794" s="514">
        <v>0</v>
      </c>
      <c r="L794" s="514">
        <v>0</v>
      </c>
      <c r="M794" s="514">
        <v>0</v>
      </c>
      <c r="N794" s="514">
        <v>0</v>
      </c>
      <c r="O794" s="499"/>
      <c r="P794" s="499"/>
      <c r="Q794" s="499"/>
    </row>
    <row r="795" spans="1:17" ht="14.4" x14ac:dyDescent="0.3">
      <c r="A795" s="502">
        <v>1821000</v>
      </c>
      <c r="B795" s="503" t="s">
        <v>2597</v>
      </c>
      <c r="C795" s="514">
        <v>0</v>
      </c>
      <c r="D795" s="514">
        <v>0</v>
      </c>
      <c r="E795" s="514">
        <v>0</v>
      </c>
      <c r="F795" s="514">
        <v>0</v>
      </c>
      <c r="G795" s="514">
        <v>0</v>
      </c>
      <c r="H795" s="514">
        <v>0</v>
      </c>
      <c r="I795" s="514">
        <v>0</v>
      </c>
      <c r="J795" s="514">
        <v>0</v>
      </c>
      <c r="K795" s="514">
        <v>0</v>
      </c>
      <c r="L795" s="514">
        <v>0</v>
      </c>
      <c r="M795" s="514">
        <v>0</v>
      </c>
      <c r="N795" s="514">
        <v>0</v>
      </c>
      <c r="O795" s="499"/>
      <c r="P795" s="499"/>
      <c r="Q795" s="499"/>
    </row>
    <row r="796" spans="1:17" ht="14.4" x14ac:dyDescent="0.3">
      <c r="A796" s="502">
        <v>1822000</v>
      </c>
      <c r="B796" s="503" t="s">
        <v>2598</v>
      </c>
      <c r="C796" s="514">
        <v>0</v>
      </c>
      <c r="D796" s="514">
        <v>0</v>
      </c>
      <c r="E796" s="514">
        <v>0</v>
      </c>
      <c r="F796" s="514">
        <v>0</v>
      </c>
      <c r="G796" s="514">
        <v>0</v>
      </c>
      <c r="H796" s="514">
        <v>0</v>
      </c>
      <c r="I796" s="514">
        <v>0</v>
      </c>
      <c r="J796" s="514">
        <v>0</v>
      </c>
      <c r="K796" s="514">
        <v>0</v>
      </c>
      <c r="L796" s="514">
        <v>0</v>
      </c>
      <c r="M796" s="514">
        <v>0</v>
      </c>
      <c r="N796" s="514">
        <v>0</v>
      </c>
      <c r="O796" s="499"/>
      <c r="P796" s="499"/>
      <c r="Q796" s="499"/>
    </row>
    <row r="797" spans="1:17" ht="14.4" x14ac:dyDescent="0.3">
      <c r="A797" s="502">
        <v>1822111</v>
      </c>
      <c r="B797" s="503" t="s">
        <v>2599</v>
      </c>
      <c r="C797" s="514">
        <v>42340641.640000001</v>
      </c>
      <c r="D797" s="514">
        <v>42655228.07</v>
      </c>
      <c r="E797" s="514">
        <v>42971144.82</v>
      </c>
      <c r="F797" s="514">
        <v>43286560.369999997</v>
      </c>
      <c r="G797" s="514">
        <v>43606514.270000003</v>
      </c>
      <c r="H797" s="514">
        <v>43969406.93</v>
      </c>
      <c r="I797" s="514">
        <v>44345877.289999999</v>
      </c>
      <c r="J797" s="514">
        <v>44832522.210000001</v>
      </c>
      <c r="K797" s="514">
        <v>45231630.030000001</v>
      </c>
      <c r="L797" s="514">
        <v>45742757.659999996</v>
      </c>
      <c r="M797" s="514">
        <v>46168244.799999997</v>
      </c>
      <c r="N797" s="514">
        <v>46827920.539999999</v>
      </c>
      <c r="O797" s="499"/>
      <c r="P797" s="499"/>
      <c r="Q797" s="499"/>
    </row>
    <row r="798" spans="1:17" ht="14.4" x14ac:dyDescent="0.3">
      <c r="A798" s="502">
        <v>1822211</v>
      </c>
      <c r="B798" s="503" t="s">
        <v>2600</v>
      </c>
      <c r="C798" s="514">
        <v>462218671.19</v>
      </c>
      <c r="D798" s="514">
        <v>462098304.13999999</v>
      </c>
      <c r="E798" s="514">
        <v>461939806.75999999</v>
      </c>
      <c r="F798" s="514">
        <v>461723310.57999998</v>
      </c>
      <c r="G798" s="514">
        <v>461502276.05000001</v>
      </c>
      <c r="H798" s="514">
        <v>461678772.76999998</v>
      </c>
      <c r="I798" s="514">
        <v>461936221.75999999</v>
      </c>
      <c r="J798" s="514">
        <v>463269396.22000003</v>
      </c>
      <c r="K798" s="514">
        <v>463624207.77999997</v>
      </c>
      <c r="L798" s="514">
        <v>465051369.50999999</v>
      </c>
      <c r="M798" s="514">
        <v>465529801.73000002</v>
      </c>
      <c r="N798" s="514">
        <v>468279205.39999998</v>
      </c>
      <c r="O798" s="499"/>
      <c r="P798" s="499"/>
      <c r="Q798" s="499"/>
    </row>
    <row r="799" spans="1:17" ht="14.4" x14ac:dyDescent="0.3">
      <c r="A799" s="502">
        <v>1823020</v>
      </c>
      <c r="B799" s="503" t="s">
        <v>2601</v>
      </c>
      <c r="C799" s="514">
        <v>340589.75</v>
      </c>
      <c r="D799" s="514">
        <v>2430875.2999999998</v>
      </c>
      <c r="E799" s="514">
        <v>5813888.3300000001</v>
      </c>
      <c r="F799" s="514">
        <v>7492544.4800000004</v>
      </c>
      <c r="G799" s="514">
        <v>7304938.1100000003</v>
      </c>
      <c r="H799" s="514">
        <v>3309541.86</v>
      </c>
      <c r="I799" s="514">
        <v>973746.19</v>
      </c>
      <c r="J799" s="514">
        <v>0</v>
      </c>
      <c r="K799" s="514">
        <v>0</v>
      </c>
      <c r="L799" s="514">
        <v>0</v>
      </c>
      <c r="M799" s="514">
        <v>0</v>
      </c>
      <c r="N799" s="514">
        <v>0</v>
      </c>
      <c r="O799" s="499"/>
      <c r="P799" s="499"/>
      <c r="Q799" s="499"/>
    </row>
    <row r="800" spans="1:17" ht="14.4" x14ac:dyDescent="0.3">
      <c r="A800" s="502">
        <v>1823030</v>
      </c>
      <c r="B800" s="503" t="s">
        <v>2602</v>
      </c>
      <c r="C800" s="514">
        <v>2149275.59</v>
      </c>
      <c r="D800" s="514">
        <v>3709412.49</v>
      </c>
      <c r="E800" s="514">
        <v>3417817.53</v>
      </c>
      <c r="F800" s="514">
        <v>4582030.08</v>
      </c>
      <c r="G800" s="514">
        <v>4250584.3600000003</v>
      </c>
      <c r="H800" s="514">
        <v>3870366.71</v>
      </c>
      <c r="I800" s="514">
        <v>3471057.59</v>
      </c>
      <c r="J800" s="514">
        <v>3071993.75</v>
      </c>
      <c r="K800" s="514">
        <v>2666250.56</v>
      </c>
      <c r="L800" s="514">
        <v>2294117.54</v>
      </c>
      <c r="M800" s="514">
        <v>1970412.37</v>
      </c>
      <c r="N800" s="514">
        <v>1661241.82</v>
      </c>
      <c r="O800" s="499"/>
      <c r="P800" s="499"/>
      <c r="Q800" s="499"/>
    </row>
    <row r="801" spans="1:17" ht="14.4" x14ac:dyDescent="0.3">
      <c r="A801" s="502">
        <v>1823040</v>
      </c>
      <c r="B801" s="503" t="s">
        <v>2603</v>
      </c>
      <c r="C801" s="514">
        <v>0</v>
      </c>
      <c r="D801" s="514">
        <v>0</v>
      </c>
      <c r="E801" s="514">
        <v>0</v>
      </c>
      <c r="F801" s="514">
        <v>0</v>
      </c>
      <c r="G801" s="514">
        <v>0</v>
      </c>
      <c r="H801" s="514">
        <v>0</v>
      </c>
      <c r="I801" s="514">
        <v>0</v>
      </c>
      <c r="J801" s="514">
        <v>0</v>
      </c>
      <c r="K801" s="514">
        <v>0</v>
      </c>
      <c r="L801" s="514">
        <v>0</v>
      </c>
      <c r="M801" s="514">
        <v>0</v>
      </c>
      <c r="N801" s="514">
        <v>0</v>
      </c>
      <c r="O801" s="499"/>
      <c r="P801" s="499"/>
      <c r="Q801" s="499"/>
    </row>
    <row r="802" spans="1:17" ht="14.4" x14ac:dyDescent="0.3">
      <c r="A802" s="502">
        <v>1823050</v>
      </c>
      <c r="B802" s="503" t="s">
        <v>2604</v>
      </c>
      <c r="C802" s="514">
        <v>0</v>
      </c>
      <c r="D802" s="514">
        <v>0</v>
      </c>
      <c r="E802" s="514">
        <v>0</v>
      </c>
      <c r="F802" s="514">
        <v>0</v>
      </c>
      <c r="G802" s="514">
        <v>0</v>
      </c>
      <c r="H802" s="514">
        <v>0</v>
      </c>
      <c r="I802" s="514">
        <v>0</v>
      </c>
      <c r="J802" s="514">
        <v>0</v>
      </c>
      <c r="K802" s="514">
        <v>0</v>
      </c>
      <c r="L802" s="514">
        <v>0</v>
      </c>
      <c r="M802" s="514">
        <v>0</v>
      </c>
      <c r="N802" s="514">
        <v>0</v>
      </c>
      <c r="O802" s="499"/>
      <c r="P802" s="499"/>
      <c r="Q802" s="499"/>
    </row>
    <row r="803" spans="1:17" ht="14.4" x14ac:dyDescent="0.3">
      <c r="A803" s="502">
        <v>1823070</v>
      </c>
      <c r="B803" s="503" t="s">
        <v>2605</v>
      </c>
      <c r="C803" s="514">
        <v>0</v>
      </c>
      <c r="D803" s="514">
        <v>0</v>
      </c>
      <c r="E803" s="514">
        <v>0</v>
      </c>
      <c r="F803" s="514">
        <v>0</v>
      </c>
      <c r="G803" s="514">
        <v>0</v>
      </c>
      <c r="H803" s="514">
        <v>0</v>
      </c>
      <c r="I803" s="514">
        <v>0</v>
      </c>
      <c r="J803" s="514">
        <v>0</v>
      </c>
      <c r="K803" s="514">
        <v>0</v>
      </c>
      <c r="L803" s="514">
        <v>0</v>
      </c>
      <c r="M803" s="514">
        <v>0</v>
      </c>
      <c r="N803" s="514">
        <v>0</v>
      </c>
      <c r="O803" s="499"/>
      <c r="P803" s="499"/>
      <c r="Q803" s="499"/>
    </row>
    <row r="804" spans="1:17" ht="14.4" x14ac:dyDescent="0.3">
      <c r="A804" s="502">
        <v>1823071</v>
      </c>
      <c r="B804" s="503" t="s">
        <v>2606</v>
      </c>
      <c r="C804" s="514">
        <v>0</v>
      </c>
      <c r="D804" s="514">
        <v>0</v>
      </c>
      <c r="E804" s="514">
        <v>0</v>
      </c>
      <c r="F804" s="514">
        <v>0</v>
      </c>
      <c r="G804" s="514">
        <v>0</v>
      </c>
      <c r="H804" s="514">
        <v>0</v>
      </c>
      <c r="I804" s="514">
        <v>0</v>
      </c>
      <c r="J804" s="514">
        <v>0</v>
      </c>
      <c r="K804" s="514">
        <v>0</v>
      </c>
      <c r="L804" s="514">
        <v>0</v>
      </c>
      <c r="M804" s="514">
        <v>0</v>
      </c>
      <c r="N804" s="514">
        <v>0</v>
      </c>
      <c r="O804" s="499"/>
      <c r="P804" s="499"/>
      <c r="Q804" s="499"/>
    </row>
    <row r="805" spans="1:17" ht="14.4" x14ac:dyDescent="0.3">
      <c r="A805" s="502">
        <v>1823080</v>
      </c>
      <c r="B805" s="503" t="s">
        <v>2607</v>
      </c>
      <c r="C805" s="514">
        <v>0</v>
      </c>
      <c r="D805" s="514">
        <v>0</v>
      </c>
      <c r="E805" s="514">
        <v>0</v>
      </c>
      <c r="F805" s="514">
        <v>0</v>
      </c>
      <c r="G805" s="514">
        <v>0</v>
      </c>
      <c r="H805" s="514">
        <v>0</v>
      </c>
      <c r="I805" s="514">
        <v>0</v>
      </c>
      <c r="J805" s="514">
        <v>0</v>
      </c>
      <c r="K805" s="514">
        <v>0</v>
      </c>
      <c r="L805" s="514">
        <v>0</v>
      </c>
      <c r="M805" s="514">
        <v>0</v>
      </c>
      <c r="N805" s="514">
        <v>0</v>
      </c>
      <c r="O805" s="499"/>
      <c r="P805" s="499"/>
      <c r="Q805" s="499"/>
    </row>
    <row r="806" spans="1:17" ht="14.4" x14ac:dyDescent="0.3">
      <c r="A806" s="504">
        <v>1823081</v>
      </c>
      <c r="B806" s="503" t="s">
        <v>2608</v>
      </c>
      <c r="C806" s="514">
        <v>0</v>
      </c>
      <c r="D806" s="514">
        <v>0</v>
      </c>
      <c r="E806" s="514">
        <v>0</v>
      </c>
      <c r="F806" s="514">
        <v>0</v>
      </c>
      <c r="G806" s="514">
        <v>0</v>
      </c>
      <c r="H806" s="514">
        <v>0</v>
      </c>
      <c r="I806" s="514">
        <v>0</v>
      </c>
      <c r="J806" s="514">
        <v>0</v>
      </c>
      <c r="K806" s="514">
        <v>0</v>
      </c>
      <c r="L806" s="514">
        <v>0</v>
      </c>
      <c r="M806" s="514">
        <v>0</v>
      </c>
      <c r="N806" s="514">
        <v>0</v>
      </c>
      <c r="O806" s="499"/>
      <c r="P806" s="499"/>
      <c r="Q806" s="499"/>
    </row>
    <row r="807" spans="1:17" ht="14.4" x14ac:dyDescent="0.3">
      <c r="A807" s="502">
        <v>1823082</v>
      </c>
      <c r="B807" s="503" t="s">
        <v>2609</v>
      </c>
      <c r="C807" s="514">
        <v>0</v>
      </c>
      <c r="D807" s="514">
        <v>0</v>
      </c>
      <c r="E807" s="514">
        <v>0</v>
      </c>
      <c r="F807" s="514">
        <v>0</v>
      </c>
      <c r="G807" s="514">
        <v>0</v>
      </c>
      <c r="H807" s="514">
        <v>0</v>
      </c>
      <c r="I807" s="514">
        <v>0</v>
      </c>
      <c r="J807" s="514">
        <v>0</v>
      </c>
      <c r="K807" s="514">
        <v>0</v>
      </c>
      <c r="L807" s="514">
        <v>0</v>
      </c>
      <c r="M807" s="514">
        <v>0</v>
      </c>
      <c r="N807" s="514">
        <v>0</v>
      </c>
      <c r="O807" s="499"/>
      <c r="P807" s="499"/>
      <c r="Q807" s="499"/>
    </row>
    <row r="808" spans="1:17" ht="14.4" x14ac:dyDescent="0.3">
      <c r="A808" s="502">
        <v>1823083</v>
      </c>
      <c r="B808" s="503" t="s">
        <v>2610</v>
      </c>
      <c r="C808" s="514">
        <v>0</v>
      </c>
      <c r="D808" s="514">
        <v>0</v>
      </c>
      <c r="E808" s="514">
        <v>0</v>
      </c>
      <c r="F808" s="514">
        <v>0</v>
      </c>
      <c r="G808" s="514">
        <v>0</v>
      </c>
      <c r="H808" s="514">
        <v>0</v>
      </c>
      <c r="I808" s="514">
        <v>0</v>
      </c>
      <c r="J808" s="514">
        <v>0</v>
      </c>
      <c r="K808" s="514">
        <v>0</v>
      </c>
      <c r="L808" s="514">
        <v>0</v>
      </c>
      <c r="M808" s="514">
        <v>0</v>
      </c>
      <c r="N808" s="514">
        <v>0</v>
      </c>
      <c r="O808" s="499"/>
      <c r="P808" s="499"/>
      <c r="Q808" s="499"/>
    </row>
    <row r="809" spans="1:17" ht="14.4" x14ac:dyDescent="0.3">
      <c r="A809" s="502">
        <v>1823090</v>
      </c>
      <c r="B809" s="503" t="s">
        <v>2611</v>
      </c>
      <c r="C809" s="514">
        <v>1756319</v>
      </c>
      <c r="D809" s="514">
        <v>3323957</v>
      </c>
      <c r="E809" s="514">
        <v>5360505</v>
      </c>
      <c r="F809" s="514">
        <v>7148266</v>
      </c>
      <c r="G809" s="514">
        <v>8041406</v>
      </c>
      <c r="H809" s="514">
        <v>7457435</v>
      </c>
      <c r="I809" s="514">
        <v>6361120</v>
      </c>
      <c r="J809" s="514">
        <v>5405076</v>
      </c>
      <c r="K809" s="514">
        <v>4295828</v>
      </c>
      <c r="L809" s="514">
        <v>4518029</v>
      </c>
      <c r="M809" s="514">
        <v>6399729</v>
      </c>
      <c r="N809" s="514">
        <v>8864402</v>
      </c>
      <c r="O809" s="499"/>
      <c r="P809" s="499"/>
      <c r="Q809" s="499"/>
    </row>
    <row r="810" spans="1:17" ht="14.4" x14ac:dyDescent="0.3">
      <c r="A810" s="502">
        <v>1823100</v>
      </c>
      <c r="B810" s="503" t="s">
        <v>2612</v>
      </c>
      <c r="C810" s="514">
        <v>0</v>
      </c>
      <c r="D810" s="514">
        <v>0</v>
      </c>
      <c r="E810" s="514">
        <v>0</v>
      </c>
      <c r="F810" s="514">
        <v>0</v>
      </c>
      <c r="G810" s="514">
        <v>0</v>
      </c>
      <c r="H810" s="514">
        <v>0</v>
      </c>
      <c r="I810" s="514">
        <v>0</v>
      </c>
      <c r="J810" s="514">
        <v>0</v>
      </c>
      <c r="K810" s="514">
        <v>0</v>
      </c>
      <c r="L810" s="514">
        <v>0</v>
      </c>
      <c r="M810" s="514">
        <v>0</v>
      </c>
      <c r="N810" s="514">
        <v>0</v>
      </c>
      <c r="O810" s="499"/>
      <c r="P810" s="499"/>
      <c r="Q810" s="499"/>
    </row>
    <row r="811" spans="1:17" ht="14.4" x14ac:dyDescent="0.3">
      <c r="A811" s="502">
        <v>1823101</v>
      </c>
      <c r="B811" s="503" t="s">
        <v>2613</v>
      </c>
      <c r="C811" s="514">
        <v>0</v>
      </c>
      <c r="D811" s="514">
        <v>0</v>
      </c>
      <c r="E811" s="514">
        <v>0</v>
      </c>
      <c r="F811" s="514">
        <v>0</v>
      </c>
      <c r="G811" s="514">
        <v>0</v>
      </c>
      <c r="H811" s="514">
        <v>0</v>
      </c>
      <c r="I811" s="514">
        <v>0</v>
      </c>
      <c r="J811" s="514">
        <v>0</v>
      </c>
      <c r="K811" s="514">
        <v>0</v>
      </c>
      <c r="L811" s="514">
        <v>0</v>
      </c>
      <c r="M811" s="514">
        <v>0</v>
      </c>
      <c r="N811" s="514">
        <v>0</v>
      </c>
      <c r="O811" s="499"/>
      <c r="P811" s="499"/>
      <c r="Q811" s="499"/>
    </row>
    <row r="812" spans="1:17" ht="14.4" x14ac:dyDescent="0.3">
      <c r="A812" s="502">
        <v>1823102</v>
      </c>
      <c r="B812" s="503" t="s">
        <v>2614</v>
      </c>
      <c r="C812" s="514">
        <v>460116</v>
      </c>
      <c r="D812" s="514">
        <v>460116</v>
      </c>
      <c r="E812" s="514">
        <v>460116</v>
      </c>
      <c r="F812" s="514">
        <v>460116</v>
      </c>
      <c r="G812" s="514">
        <v>460116</v>
      </c>
      <c r="H812" s="514">
        <v>460116</v>
      </c>
      <c r="I812" s="514">
        <v>460116</v>
      </c>
      <c r="J812" s="514">
        <v>460116</v>
      </c>
      <c r="K812" s="514">
        <v>460116</v>
      </c>
      <c r="L812" s="514">
        <v>460116</v>
      </c>
      <c r="M812" s="514">
        <v>460116</v>
      </c>
      <c r="N812" s="514">
        <v>460116</v>
      </c>
      <c r="O812" s="499"/>
      <c r="P812" s="499"/>
      <c r="Q812" s="499"/>
    </row>
    <row r="813" spans="1:17" ht="14.4" x14ac:dyDescent="0.3">
      <c r="A813" s="502">
        <v>1823103</v>
      </c>
      <c r="B813" s="503" t="s">
        <v>2615</v>
      </c>
      <c r="C813" s="514">
        <v>0</v>
      </c>
      <c r="D813" s="514">
        <v>0</v>
      </c>
      <c r="E813" s="514">
        <v>0</v>
      </c>
      <c r="F813" s="514">
        <v>0</v>
      </c>
      <c r="G813" s="514">
        <v>0</v>
      </c>
      <c r="H813" s="514">
        <v>0</v>
      </c>
      <c r="I813" s="514">
        <v>0</v>
      </c>
      <c r="J813" s="514">
        <v>0</v>
      </c>
      <c r="K813" s="514">
        <v>0</v>
      </c>
      <c r="L813" s="514">
        <v>0</v>
      </c>
      <c r="M813" s="514">
        <v>0</v>
      </c>
      <c r="N813" s="514">
        <v>0</v>
      </c>
      <c r="O813" s="499"/>
      <c r="P813" s="499"/>
      <c r="Q813" s="499"/>
    </row>
    <row r="814" spans="1:17" ht="14.4" x14ac:dyDescent="0.3">
      <c r="A814" s="502">
        <v>1823104</v>
      </c>
      <c r="B814" s="503" t="s">
        <v>2616</v>
      </c>
      <c r="C814" s="514">
        <v>0</v>
      </c>
      <c r="D814" s="514">
        <v>0</v>
      </c>
      <c r="E814" s="514">
        <v>0</v>
      </c>
      <c r="F814" s="514">
        <v>0</v>
      </c>
      <c r="G814" s="514">
        <v>0</v>
      </c>
      <c r="H814" s="514">
        <v>0</v>
      </c>
      <c r="I814" s="514">
        <v>0</v>
      </c>
      <c r="J814" s="514">
        <v>0</v>
      </c>
      <c r="K814" s="514">
        <v>0</v>
      </c>
      <c r="L814" s="514">
        <v>0</v>
      </c>
      <c r="M814" s="514">
        <v>0</v>
      </c>
      <c r="N814" s="514">
        <v>0</v>
      </c>
      <c r="O814" s="499"/>
      <c r="P814" s="499"/>
      <c r="Q814" s="499"/>
    </row>
    <row r="815" spans="1:17" ht="14.4" x14ac:dyDescent="0.3">
      <c r="A815" s="502">
        <v>1823105</v>
      </c>
      <c r="B815" s="503" t="s">
        <v>2617</v>
      </c>
      <c r="C815" s="514">
        <v>0</v>
      </c>
      <c r="D815" s="514">
        <v>0</v>
      </c>
      <c r="E815" s="514">
        <v>0</v>
      </c>
      <c r="F815" s="514">
        <v>0</v>
      </c>
      <c r="G815" s="514">
        <v>0</v>
      </c>
      <c r="H815" s="514">
        <v>0</v>
      </c>
      <c r="I815" s="514">
        <v>0</v>
      </c>
      <c r="J815" s="514">
        <v>0</v>
      </c>
      <c r="K815" s="514">
        <v>0</v>
      </c>
      <c r="L815" s="514">
        <v>0</v>
      </c>
      <c r="M815" s="514">
        <v>0</v>
      </c>
      <c r="N815" s="514">
        <v>0</v>
      </c>
      <c r="O815" s="499"/>
      <c r="P815" s="499"/>
      <c r="Q815" s="499"/>
    </row>
    <row r="816" spans="1:17" ht="14.4" x14ac:dyDescent="0.3">
      <c r="A816" s="502">
        <v>1823106</v>
      </c>
      <c r="B816" s="503" t="s">
        <v>2618</v>
      </c>
      <c r="C816" s="514">
        <v>715752.49</v>
      </c>
      <c r="D816" s="514">
        <v>899085.82</v>
      </c>
      <c r="E816" s="514">
        <v>1082419.1499999999</v>
      </c>
      <c r="F816" s="514">
        <v>1265752.48</v>
      </c>
      <c r="G816" s="514">
        <v>1449085.81</v>
      </c>
      <c r="H816" s="514">
        <v>1632419.14</v>
      </c>
      <c r="I816" s="514">
        <v>1815752.47</v>
      </c>
      <c r="J816" s="514">
        <v>1999085.8</v>
      </c>
      <c r="K816" s="514">
        <v>2182419.13</v>
      </c>
      <c r="L816" s="514">
        <v>2365752.46</v>
      </c>
      <c r="M816" s="514">
        <v>2549085.79</v>
      </c>
      <c r="N816" s="514">
        <v>2732419.16</v>
      </c>
      <c r="O816" s="499"/>
      <c r="P816" s="499"/>
      <c r="Q816" s="499"/>
    </row>
    <row r="817" spans="1:17" ht="14.4" x14ac:dyDescent="0.3">
      <c r="A817" s="504">
        <v>1823107</v>
      </c>
      <c r="B817" s="503" t="s">
        <v>2619</v>
      </c>
      <c r="C817" s="514">
        <v>0</v>
      </c>
      <c r="D817" s="514">
        <v>0</v>
      </c>
      <c r="E817" s="514">
        <v>0</v>
      </c>
      <c r="F817" s="514">
        <v>0</v>
      </c>
      <c r="G817" s="514">
        <v>0</v>
      </c>
      <c r="H817" s="514">
        <v>0</v>
      </c>
      <c r="I817" s="514">
        <v>0</v>
      </c>
      <c r="J817" s="514">
        <v>0</v>
      </c>
      <c r="K817" s="514">
        <v>0</v>
      </c>
      <c r="L817" s="514">
        <v>0</v>
      </c>
      <c r="M817" s="514">
        <v>0</v>
      </c>
      <c r="N817" s="514">
        <v>0</v>
      </c>
      <c r="O817" s="499"/>
      <c r="P817" s="499"/>
      <c r="Q817" s="499"/>
    </row>
    <row r="818" spans="1:17" ht="14.4" x14ac:dyDescent="0.3">
      <c r="A818" s="502">
        <v>1823108</v>
      </c>
      <c r="B818" s="503" t="s">
        <v>2620</v>
      </c>
      <c r="C818" s="514">
        <v>0</v>
      </c>
      <c r="D818" s="514">
        <v>0</v>
      </c>
      <c r="E818" s="514">
        <v>0</v>
      </c>
      <c r="F818" s="514">
        <v>0</v>
      </c>
      <c r="G818" s="514">
        <v>0</v>
      </c>
      <c r="H818" s="514">
        <v>0</v>
      </c>
      <c r="I818" s="514">
        <v>0</v>
      </c>
      <c r="J818" s="514">
        <v>0</v>
      </c>
      <c r="K818" s="514">
        <v>0</v>
      </c>
      <c r="L818" s="514">
        <v>0</v>
      </c>
      <c r="M818" s="514">
        <v>0</v>
      </c>
      <c r="N818" s="514">
        <v>0</v>
      </c>
      <c r="O818" s="499"/>
      <c r="P818" s="499"/>
      <c r="Q818" s="499"/>
    </row>
    <row r="819" spans="1:17" ht="14.4" x14ac:dyDescent="0.3">
      <c r="A819" s="502">
        <v>1823109</v>
      </c>
      <c r="B819" s="503" t="s">
        <v>2621</v>
      </c>
      <c r="C819" s="514">
        <v>0</v>
      </c>
      <c r="D819" s="514">
        <v>0</v>
      </c>
      <c r="E819" s="514">
        <v>0</v>
      </c>
      <c r="F819" s="514">
        <v>0</v>
      </c>
      <c r="G819" s="514">
        <v>0</v>
      </c>
      <c r="H819" s="514">
        <v>0</v>
      </c>
      <c r="I819" s="514">
        <v>0</v>
      </c>
      <c r="J819" s="514">
        <v>0</v>
      </c>
      <c r="K819" s="514">
        <v>0</v>
      </c>
      <c r="L819" s="514">
        <v>0</v>
      </c>
      <c r="M819" s="514">
        <v>0</v>
      </c>
      <c r="N819" s="514">
        <v>0</v>
      </c>
      <c r="O819" s="499"/>
      <c r="P819" s="499"/>
      <c r="Q819" s="499"/>
    </row>
    <row r="820" spans="1:17" ht="14.4" x14ac:dyDescent="0.3">
      <c r="A820" s="502">
        <v>1823110</v>
      </c>
      <c r="B820" s="503" t="s">
        <v>2622</v>
      </c>
      <c r="C820" s="514">
        <v>0</v>
      </c>
      <c r="D820" s="514">
        <v>0</v>
      </c>
      <c r="E820" s="514">
        <v>0</v>
      </c>
      <c r="F820" s="514">
        <v>0</v>
      </c>
      <c r="G820" s="514">
        <v>0</v>
      </c>
      <c r="H820" s="514">
        <v>0</v>
      </c>
      <c r="I820" s="514">
        <v>0</v>
      </c>
      <c r="J820" s="514">
        <v>0</v>
      </c>
      <c r="K820" s="514">
        <v>0</v>
      </c>
      <c r="L820" s="514">
        <v>0</v>
      </c>
      <c r="M820" s="514">
        <v>0</v>
      </c>
      <c r="N820" s="514">
        <v>0</v>
      </c>
      <c r="O820" s="499"/>
      <c r="P820" s="499"/>
      <c r="Q820" s="499"/>
    </row>
    <row r="821" spans="1:17" ht="14.4" x14ac:dyDescent="0.3">
      <c r="A821" s="502">
        <v>1823112</v>
      </c>
      <c r="B821" s="503" t="s">
        <v>2623</v>
      </c>
      <c r="C821" s="514">
        <v>0</v>
      </c>
      <c r="D821" s="514">
        <v>0</v>
      </c>
      <c r="E821" s="514">
        <v>0</v>
      </c>
      <c r="F821" s="514">
        <v>0</v>
      </c>
      <c r="G821" s="514">
        <v>0</v>
      </c>
      <c r="H821" s="514">
        <v>0</v>
      </c>
      <c r="I821" s="514">
        <v>0</v>
      </c>
      <c r="J821" s="514">
        <v>0</v>
      </c>
      <c r="K821" s="514">
        <v>0</v>
      </c>
      <c r="L821" s="514">
        <v>0</v>
      </c>
      <c r="M821" s="514">
        <v>0</v>
      </c>
      <c r="N821" s="514">
        <v>0</v>
      </c>
      <c r="O821" s="499"/>
      <c r="P821" s="499"/>
      <c r="Q821" s="499"/>
    </row>
    <row r="822" spans="1:17" ht="14.4" x14ac:dyDescent="0.3">
      <c r="A822" s="502">
        <v>1823113</v>
      </c>
      <c r="B822" s="503" t="s">
        <v>2624</v>
      </c>
      <c r="C822" s="514">
        <v>0</v>
      </c>
      <c r="D822" s="514">
        <v>0</v>
      </c>
      <c r="E822" s="514">
        <v>0</v>
      </c>
      <c r="F822" s="514">
        <v>0</v>
      </c>
      <c r="G822" s="514">
        <v>0</v>
      </c>
      <c r="H822" s="514">
        <v>0</v>
      </c>
      <c r="I822" s="514">
        <v>0</v>
      </c>
      <c r="J822" s="514">
        <v>0</v>
      </c>
      <c r="K822" s="514">
        <v>0</v>
      </c>
      <c r="L822" s="514">
        <v>0</v>
      </c>
      <c r="M822" s="514">
        <v>0</v>
      </c>
      <c r="N822" s="514">
        <v>0</v>
      </c>
      <c r="O822" s="499"/>
      <c r="P822" s="499"/>
      <c r="Q822" s="499"/>
    </row>
    <row r="823" spans="1:17" ht="14.4" x14ac:dyDescent="0.3">
      <c r="A823" s="502">
        <v>1823200</v>
      </c>
      <c r="B823" s="503" t="s">
        <v>2625</v>
      </c>
      <c r="C823" s="514">
        <v>237104823</v>
      </c>
      <c r="D823" s="514">
        <v>237104823</v>
      </c>
      <c r="E823" s="514">
        <v>237104823</v>
      </c>
      <c r="F823" s="514">
        <v>237104823</v>
      </c>
      <c r="G823" s="514">
        <v>237104823</v>
      </c>
      <c r="H823" s="514">
        <v>237104823</v>
      </c>
      <c r="I823" s="514">
        <v>237104823</v>
      </c>
      <c r="J823" s="514">
        <v>237104823</v>
      </c>
      <c r="K823" s="514">
        <v>237104823</v>
      </c>
      <c r="L823" s="514">
        <v>237104823</v>
      </c>
      <c r="M823" s="514">
        <v>237104823</v>
      </c>
      <c r="N823" s="514">
        <v>237104823</v>
      </c>
      <c r="O823" s="499"/>
      <c r="P823" s="499"/>
      <c r="Q823" s="499"/>
    </row>
    <row r="824" spans="1:17" ht="14.4" x14ac:dyDescent="0.3">
      <c r="A824" s="502">
        <v>1823201</v>
      </c>
      <c r="B824" s="503" t="s">
        <v>2626</v>
      </c>
      <c r="C824" s="514">
        <v>92458.97</v>
      </c>
      <c r="D824" s="514">
        <v>92458.97</v>
      </c>
      <c r="E824" s="514">
        <v>97351.86</v>
      </c>
      <c r="F824" s="514">
        <v>97351.86</v>
      </c>
      <c r="G824" s="514">
        <v>97351.86</v>
      </c>
      <c r="H824" s="514">
        <v>102244.75</v>
      </c>
      <c r="I824" s="514">
        <v>102244.75</v>
      </c>
      <c r="J824" s="514">
        <v>102244.75</v>
      </c>
      <c r="K824" s="514">
        <v>107137.64</v>
      </c>
      <c r="L824" s="514">
        <v>107137.64</v>
      </c>
      <c r="M824" s="514">
        <v>107137.64</v>
      </c>
      <c r="N824" s="514">
        <v>112030.52</v>
      </c>
      <c r="O824" s="499"/>
      <c r="P824" s="499"/>
      <c r="Q824" s="499"/>
    </row>
    <row r="825" spans="1:17" ht="14.4" x14ac:dyDescent="0.3">
      <c r="A825" s="502">
        <v>1823202</v>
      </c>
      <c r="B825" s="503" t="s">
        <v>2627</v>
      </c>
      <c r="C825" s="514">
        <v>421773</v>
      </c>
      <c r="D825" s="514">
        <v>383430</v>
      </c>
      <c r="E825" s="514">
        <v>345087</v>
      </c>
      <c r="F825" s="514">
        <v>306744</v>
      </c>
      <c r="G825" s="514">
        <v>268401</v>
      </c>
      <c r="H825" s="514">
        <v>230058</v>
      </c>
      <c r="I825" s="514">
        <v>191715</v>
      </c>
      <c r="J825" s="514">
        <v>153372</v>
      </c>
      <c r="K825" s="514">
        <v>115029</v>
      </c>
      <c r="L825" s="514">
        <v>76686</v>
      </c>
      <c r="M825" s="514">
        <v>38343</v>
      </c>
      <c r="N825" s="514">
        <v>0</v>
      </c>
      <c r="O825" s="499"/>
      <c r="P825" s="499"/>
      <c r="Q825" s="499"/>
    </row>
    <row r="826" spans="1:17" ht="14.4" x14ac:dyDescent="0.3">
      <c r="A826" s="502">
        <v>1823203</v>
      </c>
      <c r="B826" s="503" t="s">
        <v>2628</v>
      </c>
      <c r="C826" s="514">
        <v>0</v>
      </c>
      <c r="D826" s="514">
        <v>0</v>
      </c>
      <c r="E826" s="514">
        <v>0</v>
      </c>
      <c r="F826" s="514">
        <v>0</v>
      </c>
      <c r="G826" s="514">
        <v>0</v>
      </c>
      <c r="H826" s="514">
        <v>0</v>
      </c>
      <c r="I826" s="514">
        <v>0</v>
      </c>
      <c r="J826" s="514">
        <v>0</v>
      </c>
      <c r="K826" s="514">
        <v>0</v>
      </c>
      <c r="L826" s="514">
        <v>0</v>
      </c>
      <c r="M826" s="514">
        <v>0</v>
      </c>
      <c r="N826" s="514">
        <v>0</v>
      </c>
      <c r="O826" s="499"/>
      <c r="P826" s="499"/>
      <c r="Q826" s="499"/>
    </row>
    <row r="827" spans="1:17" ht="14.4" x14ac:dyDescent="0.3">
      <c r="A827" s="502">
        <v>1823204</v>
      </c>
      <c r="B827" s="503" t="s">
        <v>2629</v>
      </c>
      <c r="C827" s="514">
        <v>14260196.74</v>
      </c>
      <c r="D827" s="514">
        <v>14467275.42</v>
      </c>
      <c r="E827" s="514">
        <v>14674970.66</v>
      </c>
      <c r="F827" s="514">
        <v>14883285.02</v>
      </c>
      <c r="G827" s="514">
        <v>15092221.09</v>
      </c>
      <c r="H827" s="514">
        <v>15301781.449999999</v>
      </c>
      <c r="I827" s="514">
        <v>15511968.710000001</v>
      </c>
      <c r="J827" s="514">
        <v>15722785.48</v>
      </c>
      <c r="K827" s="514">
        <v>15934234.380000001</v>
      </c>
      <c r="L827" s="514">
        <v>16146318.050000001</v>
      </c>
      <c r="M827" s="514">
        <v>16359039.130000001</v>
      </c>
      <c r="N827" s="514">
        <v>16572400.27</v>
      </c>
      <c r="O827" s="499"/>
      <c r="P827" s="499"/>
      <c r="Q827" s="499"/>
    </row>
    <row r="828" spans="1:17" ht="14.4" x14ac:dyDescent="0.3">
      <c r="A828" s="502">
        <v>1823205</v>
      </c>
      <c r="B828" s="503" t="s">
        <v>2630</v>
      </c>
      <c r="C828" s="514">
        <v>0</v>
      </c>
      <c r="D828" s="514">
        <v>0</v>
      </c>
      <c r="E828" s="514">
        <v>0</v>
      </c>
      <c r="F828" s="514">
        <v>0</v>
      </c>
      <c r="G828" s="514">
        <v>0</v>
      </c>
      <c r="H828" s="514">
        <v>0</v>
      </c>
      <c r="I828" s="514">
        <v>0</v>
      </c>
      <c r="J828" s="514">
        <v>0</v>
      </c>
      <c r="K828" s="514">
        <v>0</v>
      </c>
      <c r="L828" s="514">
        <v>0</v>
      </c>
      <c r="M828" s="514">
        <v>0</v>
      </c>
      <c r="N828" s="514">
        <v>0</v>
      </c>
      <c r="O828" s="499"/>
      <c r="P828" s="499"/>
      <c r="Q828" s="499"/>
    </row>
    <row r="829" spans="1:17" ht="14.4" x14ac:dyDescent="0.3">
      <c r="A829" s="502">
        <v>1823206</v>
      </c>
      <c r="B829" s="503" t="s">
        <v>2631</v>
      </c>
      <c r="C829" s="514">
        <v>2016666.67</v>
      </c>
      <c r="D829" s="514">
        <v>1833333.34</v>
      </c>
      <c r="E829" s="514">
        <v>1650000.01</v>
      </c>
      <c r="F829" s="514">
        <v>1466666.68</v>
      </c>
      <c r="G829" s="514">
        <v>1283333.3500000001</v>
      </c>
      <c r="H829" s="514">
        <v>1100000.02</v>
      </c>
      <c r="I829" s="514">
        <v>1086666.69</v>
      </c>
      <c r="J829" s="514">
        <v>1313333.3600000001</v>
      </c>
      <c r="K829" s="514">
        <v>1540000.03</v>
      </c>
      <c r="L829" s="514">
        <v>1766666.7</v>
      </c>
      <c r="M829" s="514">
        <v>1993333.37</v>
      </c>
      <c r="N829" s="514">
        <v>2200000</v>
      </c>
      <c r="O829" s="499"/>
      <c r="P829" s="499"/>
      <c r="Q829" s="499"/>
    </row>
    <row r="830" spans="1:17" ht="14.4" x14ac:dyDescent="0.3">
      <c r="A830" s="502">
        <v>1823207</v>
      </c>
      <c r="B830" s="503" t="s">
        <v>2632</v>
      </c>
      <c r="C830" s="514">
        <v>0</v>
      </c>
      <c r="D830" s="514">
        <v>0</v>
      </c>
      <c r="E830" s="514">
        <v>0</v>
      </c>
      <c r="F830" s="514">
        <v>0</v>
      </c>
      <c r="G830" s="514">
        <v>0</v>
      </c>
      <c r="H830" s="514">
        <v>0</v>
      </c>
      <c r="I830" s="514">
        <v>0</v>
      </c>
      <c r="J830" s="514">
        <v>0</v>
      </c>
      <c r="K830" s="514">
        <v>0</v>
      </c>
      <c r="L830" s="514">
        <v>0</v>
      </c>
      <c r="M830" s="514">
        <v>0</v>
      </c>
      <c r="N830" s="514">
        <v>0</v>
      </c>
      <c r="O830" s="499"/>
      <c r="P830" s="499"/>
      <c r="Q830" s="499"/>
    </row>
    <row r="831" spans="1:17" ht="14.4" x14ac:dyDescent="0.3">
      <c r="A831" s="502">
        <v>1823208</v>
      </c>
      <c r="B831" s="503" t="s">
        <v>2633</v>
      </c>
      <c r="C831" s="514">
        <v>0</v>
      </c>
      <c r="D831" s="514">
        <v>0</v>
      </c>
      <c r="E831" s="514">
        <v>0</v>
      </c>
      <c r="F831" s="514">
        <v>0</v>
      </c>
      <c r="G831" s="514">
        <v>0</v>
      </c>
      <c r="H831" s="514">
        <v>0</v>
      </c>
      <c r="I831" s="514">
        <v>0</v>
      </c>
      <c r="J831" s="514">
        <v>0</v>
      </c>
      <c r="K831" s="514">
        <v>0</v>
      </c>
      <c r="L831" s="514">
        <v>0</v>
      </c>
      <c r="M831" s="514">
        <v>0</v>
      </c>
      <c r="N831" s="514">
        <v>0</v>
      </c>
      <c r="O831" s="499"/>
      <c r="P831" s="499"/>
      <c r="Q831" s="499"/>
    </row>
    <row r="832" spans="1:17" ht="14.4" x14ac:dyDescent="0.3">
      <c r="A832" s="502">
        <v>1823210</v>
      </c>
      <c r="B832" s="503" t="s">
        <v>2634</v>
      </c>
      <c r="C832" s="514">
        <v>0</v>
      </c>
      <c r="D832" s="514">
        <v>0</v>
      </c>
      <c r="E832" s="514">
        <v>0</v>
      </c>
      <c r="F832" s="514">
        <v>0</v>
      </c>
      <c r="G832" s="514">
        <v>0</v>
      </c>
      <c r="H832" s="514">
        <v>0</v>
      </c>
      <c r="I832" s="514">
        <v>0</v>
      </c>
      <c r="J832" s="514">
        <v>0</v>
      </c>
      <c r="K832" s="514">
        <v>0</v>
      </c>
      <c r="L832" s="514">
        <v>0</v>
      </c>
      <c r="M832" s="514">
        <v>0</v>
      </c>
      <c r="N832" s="514">
        <v>0</v>
      </c>
      <c r="O832" s="499"/>
      <c r="P832" s="499"/>
      <c r="Q832" s="499"/>
    </row>
    <row r="833" spans="1:17" ht="14.4" x14ac:dyDescent="0.3">
      <c r="A833" s="502">
        <v>1823212</v>
      </c>
      <c r="B833" s="503" t="s">
        <v>2635</v>
      </c>
      <c r="C833" s="514">
        <v>0</v>
      </c>
      <c r="D833" s="514">
        <v>0</v>
      </c>
      <c r="E833" s="514">
        <v>0</v>
      </c>
      <c r="F833" s="514">
        <v>0</v>
      </c>
      <c r="G833" s="514">
        <v>0</v>
      </c>
      <c r="H833" s="514">
        <v>0</v>
      </c>
      <c r="I833" s="514">
        <v>0</v>
      </c>
      <c r="J833" s="514">
        <v>0</v>
      </c>
      <c r="K833" s="514">
        <v>0</v>
      </c>
      <c r="L833" s="514">
        <v>0</v>
      </c>
      <c r="M833" s="514">
        <v>0</v>
      </c>
      <c r="N833" s="514">
        <v>0</v>
      </c>
      <c r="O833" s="499"/>
      <c r="P833" s="499"/>
      <c r="Q833" s="499"/>
    </row>
    <row r="834" spans="1:17" ht="14.4" x14ac:dyDescent="0.3">
      <c r="A834" s="502">
        <v>1823220</v>
      </c>
      <c r="B834" s="503" t="s">
        <v>2636</v>
      </c>
      <c r="C834" s="514">
        <v>0</v>
      </c>
      <c r="D834" s="514">
        <v>0</v>
      </c>
      <c r="E834" s="514">
        <v>0</v>
      </c>
      <c r="F834" s="514">
        <v>0</v>
      </c>
      <c r="G834" s="514">
        <v>0</v>
      </c>
      <c r="H834" s="514">
        <v>0</v>
      </c>
      <c r="I834" s="514">
        <v>0</v>
      </c>
      <c r="J834" s="514">
        <v>0</v>
      </c>
      <c r="K834" s="514">
        <v>0</v>
      </c>
      <c r="L834" s="514">
        <v>0</v>
      </c>
      <c r="M834" s="514">
        <v>0</v>
      </c>
      <c r="N834" s="514">
        <v>0</v>
      </c>
      <c r="O834" s="499"/>
      <c r="P834" s="499"/>
      <c r="Q834" s="499"/>
    </row>
    <row r="835" spans="1:17" ht="14.4" x14ac:dyDescent="0.3">
      <c r="A835" s="502">
        <v>1823245</v>
      </c>
      <c r="B835" s="503" t="s">
        <v>2637</v>
      </c>
      <c r="C835" s="514">
        <v>0</v>
      </c>
      <c r="D835" s="514">
        <v>0</v>
      </c>
      <c r="E835" s="514">
        <v>0</v>
      </c>
      <c r="F835" s="514">
        <v>0</v>
      </c>
      <c r="G835" s="514">
        <v>0</v>
      </c>
      <c r="H835" s="514">
        <v>0</v>
      </c>
      <c r="I835" s="514">
        <v>0</v>
      </c>
      <c r="J835" s="514">
        <v>0</v>
      </c>
      <c r="K835" s="514">
        <v>0</v>
      </c>
      <c r="L835" s="514">
        <v>0</v>
      </c>
      <c r="M835" s="514">
        <v>0</v>
      </c>
      <c r="N835" s="514">
        <v>0</v>
      </c>
      <c r="O835" s="499"/>
      <c r="P835" s="499"/>
      <c r="Q835" s="499"/>
    </row>
    <row r="836" spans="1:17" ht="14.4" x14ac:dyDescent="0.3">
      <c r="A836" s="502">
        <v>1823310</v>
      </c>
      <c r="B836" s="503" t="s">
        <v>2638</v>
      </c>
      <c r="C836" s="514">
        <v>0</v>
      </c>
      <c r="D836" s="514">
        <v>0</v>
      </c>
      <c r="E836" s="514">
        <v>0</v>
      </c>
      <c r="F836" s="514">
        <v>0</v>
      </c>
      <c r="G836" s="514">
        <v>0</v>
      </c>
      <c r="H836" s="514">
        <v>0</v>
      </c>
      <c r="I836" s="514">
        <v>0</v>
      </c>
      <c r="J836" s="514">
        <v>0</v>
      </c>
      <c r="K836" s="514">
        <v>0</v>
      </c>
      <c r="L836" s="514">
        <v>0</v>
      </c>
      <c r="M836" s="514">
        <v>0</v>
      </c>
      <c r="N836" s="514">
        <v>0</v>
      </c>
      <c r="O836" s="499"/>
      <c r="P836" s="499"/>
      <c r="Q836" s="499"/>
    </row>
    <row r="837" spans="1:17" ht="14.4" x14ac:dyDescent="0.3">
      <c r="A837" s="502">
        <v>1823320</v>
      </c>
      <c r="B837" s="503" t="s">
        <v>2639</v>
      </c>
      <c r="C837" s="514">
        <v>0</v>
      </c>
      <c r="D837" s="514">
        <v>0</v>
      </c>
      <c r="E837" s="514">
        <v>0</v>
      </c>
      <c r="F837" s="514">
        <v>0</v>
      </c>
      <c r="G837" s="514">
        <v>0</v>
      </c>
      <c r="H837" s="514">
        <v>0</v>
      </c>
      <c r="I837" s="514">
        <v>0</v>
      </c>
      <c r="J837" s="514">
        <v>0</v>
      </c>
      <c r="K837" s="514">
        <v>0</v>
      </c>
      <c r="L837" s="514">
        <v>0</v>
      </c>
      <c r="M837" s="514">
        <v>0</v>
      </c>
      <c r="N837" s="514">
        <v>0</v>
      </c>
      <c r="O837" s="499"/>
      <c r="P837" s="499"/>
      <c r="Q837" s="499"/>
    </row>
    <row r="838" spans="1:17" ht="14.4" x14ac:dyDescent="0.3">
      <c r="A838" s="502">
        <v>1823321</v>
      </c>
      <c r="B838" s="503" t="s">
        <v>2640</v>
      </c>
      <c r="C838" s="514">
        <v>27990</v>
      </c>
      <c r="D838" s="514">
        <v>27347</v>
      </c>
      <c r="E838" s="514">
        <v>26704</v>
      </c>
      <c r="F838" s="514">
        <v>26061</v>
      </c>
      <c r="G838" s="514">
        <v>25418</v>
      </c>
      <c r="H838" s="514">
        <v>24775</v>
      </c>
      <c r="I838" s="514">
        <v>24132</v>
      </c>
      <c r="J838" s="514">
        <v>23489</v>
      </c>
      <c r="K838" s="514">
        <v>22846</v>
      </c>
      <c r="L838" s="514">
        <v>22203</v>
      </c>
      <c r="M838" s="514">
        <v>21560</v>
      </c>
      <c r="N838" s="514">
        <v>20917</v>
      </c>
      <c r="O838" s="499"/>
      <c r="P838" s="499"/>
      <c r="Q838" s="499"/>
    </row>
    <row r="839" spans="1:17" ht="14.4" x14ac:dyDescent="0.3">
      <c r="A839" s="502">
        <v>1823322</v>
      </c>
      <c r="B839" s="503" t="s">
        <v>2641</v>
      </c>
      <c r="C839" s="514">
        <v>1808182</v>
      </c>
      <c r="D839" s="514">
        <v>1818568</v>
      </c>
      <c r="E839" s="514">
        <v>1829200</v>
      </c>
      <c r="F839" s="514">
        <v>1839529</v>
      </c>
      <c r="G839" s="514">
        <v>1848851</v>
      </c>
      <c r="H839" s="514">
        <v>1857165</v>
      </c>
      <c r="I839" s="514">
        <v>1864472</v>
      </c>
      <c r="J839" s="514">
        <v>1870943</v>
      </c>
      <c r="K839" s="514">
        <v>1876606</v>
      </c>
      <c r="L839" s="514">
        <v>1881306</v>
      </c>
      <c r="M839" s="514">
        <v>1885030</v>
      </c>
      <c r="N839" s="514">
        <v>1887763</v>
      </c>
      <c r="O839" s="499"/>
      <c r="P839" s="499"/>
      <c r="Q839" s="499"/>
    </row>
    <row r="840" spans="1:17" ht="14.4" x14ac:dyDescent="0.3">
      <c r="A840" s="502">
        <v>1823323</v>
      </c>
      <c r="B840" s="503" t="s">
        <v>2642</v>
      </c>
      <c r="C840" s="514">
        <v>0</v>
      </c>
      <c r="D840" s="514">
        <v>0</v>
      </c>
      <c r="E840" s="514">
        <v>0</v>
      </c>
      <c r="F840" s="514">
        <v>0</v>
      </c>
      <c r="G840" s="514">
        <v>0</v>
      </c>
      <c r="H840" s="514">
        <v>0</v>
      </c>
      <c r="I840" s="514">
        <v>0</v>
      </c>
      <c r="J840" s="514">
        <v>0</v>
      </c>
      <c r="K840" s="514">
        <v>0</v>
      </c>
      <c r="L840" s="514">
        <v>0</v>
      </c>
      <c r="M840" s="514">
        <v>0</v>
      </c>
      <c r="N840" s="514">
        <v>0</v>
      </c>
      <c r="O840" s="499"/>
      <c r="P840" s="499"/>
      <c r="Q840" s="499"/>
    </row>
    <row r="841" spans="1:17" ht="14.4" x14ac:dyDescent="0.3">
      <c r="A841" s="502">
        <v>1823324</v>
      </c>
      <c r="B841" s="503" t="s">
        <v>2643</v>
      </c>
      <c r="C841" s="514">
        <v>0</v>
      </c>
      <c r="D841" s="514">
        <v>0</v>
      </c>
      <c r="E841" s="514">
        <v>0</v>
      </c>
      <c r="F841" s="514">
        <v>0</v>
      </c>
      <c r="G841" s="514">
        <v>0</v>
      </c>
      <c r="H841" s="514">
        <v>0</v>
      </c>
      <c r="I841" s="514">
        <v>0</v>
      </c>
      <c r="J841" s="514">
        <v>0</v>
      </c>
      <c r="K841" s="514">
        <v>0</v>
      </c>
      <c r="L841" s="514">
        <v>0</v>
      </c>
      <c r="M841" s="514">
        <v>0</v>
      </c>
      <c r="N841" s="514">
        <v>0</v>
      </c>
      <c r="O841" s="499"/>
      <c r="P841" s="499"/>
      <c r="Q841" s="499"/>
    </row>
    <row r="842" spans="1:17" ht="14.4" x14ac:dyDescent="0.3">
      <c r="A842" s="502">
        <v>1823325</v>
      </c>
      <c r="B842" s="503" t="s">
        <v>2644</v>
      </c>
      <c r="C842" s="514">
        <v>0</v>
      </c>
      <c r="D842" s="514">
        <v>0</v>
      </c>
      <c r="E842" s="514">
        <v>0</v>
      </c>
      <c r="F842" s="514">
        <v>0</v>
      </c>
      <c r="G842" s="514">
        <v>0</v>
      </c>
      <c r="H842" s="514">
        <v>0</v>
      </c>
      <c r="I842" s="514">
        <v>0</v>
      </c>
      <c r="J842" s="514">
        <v>0</v>
      </c>
      <c r="K842" s="514">
        <v>0</v>
      </c>
      <c r="L842" s="514">
        <v>0</v>
      </c>
      <c r="M842" s="514">
        <v>0</v>
      </c>
      <c r="N842" s="514">
        <v>0</v>
      </c>
      <c r="O842" s="499"/>
      <c r="P842" s="499"/>
      <c r="Q842" s="499"/>
    </row>
    <row r="843" spans="1:17" ht="14.4" x14ac:dyDescent="0.3">
      <c r="A843" s="502">
        <v>1823326</v>
      </c>
      <c r="B843" s="503" t="s">
        <v>2645</v>
      </c>
      <c r="C843" s="514">
        <v>0</v>
      </c>
      <c r="D843" s="514">
        <v>0</v>
      </c>
      <c r="E843" s="514">
        <v>0</v>
      </c>
      <c r="F843" s="514">
        <v>0</v>
      </c>
      <c r="G843" s="514">
        <v>0</v>
      </c>
      <c r="H843" s="514">
        <v>0</v>
      </c>
      <c r="I843" s="514">
        <v>0</v>
      </c>
      <c r="J843" s="514">
        <v>0</v>
      </c>
      <c r="K843" s="514">
        <v>0</v>
      </c>
      <c r="L843" s="514">
        <v>0</v>
      </c>
      <c r="M843" s="514">
        <v>0</v>
      </c>
      <c r="N843" s="514">
        <v>0</v>
      </c>
      <c r="O843" s="499"/>
      <c r="P843" s="499"/>
      <c r="Q843" s="499"/>
    </row>
    <row r="844" spans="1:17" ht="14.4" x14ac:dyDescent="0.3">
      <c r="A844" s="502">
        <v>1823327</v>
      </c>
      <c r="B844" s="503" t="s">
        <v>2646</v>
      </c>
      <c r="C844" s="514">
        <v>1571788</v>
      </c>
      <c r="D844" s="514">
        <v>1649990</v>
      </c>
      <c r="E844" s="514">
        <v>1726359</v>
      </c>
      <c r="F844" s="514">
        <v>1800894</v>
      </c>
      <c r="G844" s="514">
        <v>1873596</v>
      </c>
      <c r="H844" s="514">
        <v>1944465</v>
      </c>
      <c r="I844" s="514">
        <v>2013500</v>
      </c>
      <c r="J844" s="514">
        <v>2080702</v>
      </c>
      <c r="K844" s="514">
        <v>2146071</v>
      </c>
      <c r="L844" s="514">
        <v>2209606</v>
      </c>
      <c r="M844" s="514">
        <v>2271308</v>
      </c>
      <c r="N844" s="514">
        <v>2331177</v>
      </c>
      <c r="O844" s="499"/>
      <c r="P844" s="499"/>
      <c r="Q844" s="499"/>
    </row>
    <row r="845" spans="1:17" ht="14.4" x14ac:dyDescent="0.3">
      <c r="A845" s="502">
        <v>1823331</v>
      </c>
      <c r="B845" s="503" t="s">
        <v>2647</v>
      </c>
      <c r="C845" s="514">
        <v>0</v>
      </c>
      <c r="D845" s="514">
        <v>0</v>
      </c>
      <c r="E845" s="514">
        <v>0</v>
      </c>
      <c r="F845" s="514">
        <v>0</v>
      </c>
      <c r="G845" s="514">
        <v>0</v>
      </c>
      <c r="H845" s="514">
        <v>0</v>
      </c>
      <c r="I845" s="514">
        <v>0</v>
      </c>
      <c r="J845" s="514">
        <v>0</v>
      </c>
      <c r="K845" s="514">
        <v>0</v>
      </c>
      <c r="L845" s="514">
        <v>0</v>
      </c>
      <c r="M845" s="514">
        <v>0</v>
      </c>
      <c r="N845" s="514">
        <v>0</v>
      </c>
      <c r="O845" s="499"/>
      <c r="P845" s="499"/>
      <c r="Q845" s="499"/>
    </row>
    <row r="846" spans="1:17" ht="14.4" x14ac:dyDescent="0.3">
      <c r="A846" s="502">
        <v>1823340</v>
      </c>
      <c r="B846" s="503" t="s">
        <v>2648</v>
      </c>
      <c r="C846" s="514">
        <v>0</v>
      </c>
      <c r="D846" s="514">
        <v>0</v>
      </c>
      <c r="E846" s="514">
        <v>0</v>
      </c>
      <c r="F846" s="514">
        <v>0</v>
      </c>
      <c r="G846" s="514">
        <v>0</v>
      </c>
      <c r="H846" s="514">
        <v>0</v>
      </c>
      <c r="I846" s="514">
        <v>0</v>
      </c>
      <c r="J846" s="514">
        <v>0</v>
      </c>
      <c r="K846" s="514">
        <v>0</v>
      </c>
      <c r="L846" s="514">
        <v>0</v>
      </c>
      <c r="M846" s="514">
        <v>0</v>
      </c>
      <c r="N846" s="514">
        <v>0</v>
      </c>
      <c r="O846" s="499"/>
      <c r="P846" s="499"/>
      <c r="Q846" s="499"/>
    </row>
    <row r="847" spans="1:17" ht="14.4" x14ac:dyDescent="0.3">
      <c r="A847" s="502">
        <v>1823345</v>
      </c>
      <c r="B847" s="503" t="s">
        <v>2649</v>
      </c>
      <c r="C847" s="514">
        <v>0</v>
      </c>
      <c r="D847" s="514">
        <v>0</v>
      </c>
      <c r="E847" s="514">
        <v>0</v>
      </c>
      <c r="F847" s="514">
        <v>0</v>
      </c>
      <c r="G847" s="514">
        <v>0</v>
      </c>
      <c r="H847" s="514">
        <v>0</v>
      </c>
      <c r="I847" s="514">
        <v>0</v>
      </c>
      <c r="J847" s="514">
        <v>0</v>
      </c>
      <c r="K847" s="514">
        <v>0</v>
      </c>
      <c r="L847" s="514">
        <v>0</v>
      </c>
      <c r="M847" s="514">
        <v>0</v>
      </c>
      <c r="N847" s="514">
        <v>0</v>
      </c>
      <c r="O847" s="499"/>
      <c r="P847" s="499"/>
      <c r="Q847" s="499"/>
    </row>
    <row r="848" spans="1:17" ht="14.4" x14ac:dyDescent="0.3">
      <c r="A848" s="502">
        <v>1823360</v>
      </c>
      <c r="B848" s="503" t="s">
        <v>2650</v>
      </c>
      <c r="C848" s="514">
        <v>0</v>
      </c>
      <c r="D848" s="514">
        <v>0</v>
      </c>
      <c r="E848" s="514">
        <v>0</v>
      </c>
      <c r="F848" s="514">
        <v>0</v>
      </c>
      <c r="G848" s="514">
        <v>0</v>
      </c>
      <c r="H848" s="514">
        <v>0</v>
      </c>
      <c r="I848" s="514">
        <v>0</v>
      </c>
      <c r="J848" s="514">
        <v>0</v>
      </c>
      <c r="K848" s="514">
        <v>0</v>
      </c>
      <c r="L848" s="514">
        <v>0</v>
      </c>
      <c r="M848" s="514">
        <v>0</v>
      </c>
      <c r="N848" s="514">
        <v>0</v>
      </c>
      <c r="O848" s="499"/>
      <c r="P848" s="499"/>
      <c r="Q848" s="499"/>
    </row>
    <row r="849" spans="1:17" ht="14.4" x14ac:dyDescent="0.3">
      <c r="A849" s="502">
        <v>1823610</v>
      </c>
      <c r="B849" s="503" t="s">
        <v>2651</v>
      </c>
      <c r="C849" s="514">
        <v>117322175.73</v>
      </c>
      <c r="D849" s="514">
        <v>120556227.81</v>
      </c>
      <c r="E849" s="514">
        <v>121245880.22</v>
      </c>
      <c r="F849" s="514">
        <v>126278507.59999999</v>
      </c>
      <c r="G849" s="514">
        <v>126806465.01000001</v>
      </c>
      <c r="H849" s="514">
        <v>127014837.39</v>
      </c>
      <c r="I849" s="514">
        <v>127070908.91</v>
      </c>
      <c r="J849" s="514">
        <v>127177295.66</v>
      </c>
      <c r="K849" s="514">
        <v>127330784.25</v>
      </c>
      <c r="L849" s="514">
        <v>127532430.56999999</v>
      </c>
      <c r="M849" s="514">
        <v>127781611.62</v>
      </c>
      <c r="N849" s="514">
        <v>127888159.29000001</v>
      </c>
      <c r="O849" s="499"/>
      <c r="P849" s="499"/>
      <c r="Q849" s="499"/>
    </row>
    <row r="850" spans="1:17" ht="14.4" x14ac:dyDescent="0.3">
      <c r="A850" s="502">
        <v>1823611</v>
      </c>
      <c r="B850" s="503" t="s">
        <v>2652</v>
      </c>
      <c r="C850" s="514">
        <v>961669.59</v>
      </c>
      <c r="D850" s="514">
        <v>961669.59</v>
      </c>
      <c r="E850" s="514">
        <v>961669.59</v>
      </c>
      <c r="F850" s="514">
        <v>961669.59</v>
      </c>
      <c r="G850" s="514">
        <v>961669.59</v>
      </c>
      <c r="H850" s="514">
        <v>961669.59</v>
      </c>
      <c r="I850" s="514">
        <v>961669.59</v>
      </c>
      <c r="J850" s="514">
        <v>961669.59</v>
      </c>
      <c r="K850" s="514">
        <v>961669.59</v>
      </c>
      <c r="L850" s="514">
        <v>961669.59</v>
      </c>
      <c r="M850" s="514">
        <v>961669.59</v>
      </c>
      <c r="N850" s="514">
        <v>961669.59</v>
      </c>
      <c r="O850" s="499"/>
      <c r="P850" s="499"/>
      <c r="Q850" s="499"/>
    </row>
    <row r="851" spans="1:17" ht="14.4" x14ac:dyDescent="0.3">
      <c r="A851" s="502">
        <v>1823612</v>
      </c>
      <c r="B851" s="503" t="s">
        <v>2653</v>
      </c>
      <c r="C851" s="514">
        <v>0</v>
      </c>
      <c r="D851" s="514">
        <v>0</v>
      </c>
      <c r="E851" s="514">
        <v>0</v>
      </c>
      <c r="F851" s="514">
        <v>0</v>
      </c>
      <c r="G851" s="514">
        <v>0</v>
      </c>
      <c r="H851" s="514">
        <v>0</v>
      </c>
      <c r="I851" s="514">
        <v>0</v>
      </c>
      <c r="J851" s="514">
        <v>0</v>
      </c>
      <c r="K851" s="514">
        <v>0</v>
      </c>
      <c r="L851" s="514">
        <v>0</v>
      </c>
      <c r="M851" s="514">
        <v>0</v>
      </c>
      <c r="N851" s="514">
        <v>0</v>
      </c>
      <c r="O851" s="499"/>
      <c r="P851" s="499"/>
      <c r="Q851" s="499"/>
    </row>
    <row r="852" spans="1:17" ht="14.4" x14ac:dyDescent="0.3">
      <c r="A852" s="502">
        <v>1823613</v>
      </c>
      <c r="B852" s="503" t="s">
        <v>2654</v>
      </c>
      <c r="C852" s="514">
        <v>0</v>
      </c>
      <c r="D852" s="514">
        <v>0</v>
      </c>
      <c r="E852" s="514">
        <v>0</v>
      </c>
      <c r="F852" s="514">
        <v>0</v>
      </c>
      <c r="G852" s="514">
        <v>0</v>
      </c>
      <c r="H852" s="514">
        <v>0</v>
      </c>
      <c r="I852" s="514">
        <v>0</v>
      </c>
      <c r="J852" s="514">
        <v>0</v>
      </c>
      <c r="K852" s="514">
        <v>0</v>
      </c>
      <c r="L852" s="514">
        <v>0</v>
      </c>
      <c r="M852" s="514">
        <v>0</v>
      </c>
      <c r="N852" s="514">
        <v>0</v>
      </c>
      <c r="O852" s="499"/>
      <c r="P852" s="499"/>
      <c r="Q852" s="499"/>
    </row>
    <row r="853" spans="1:17" ht="14.4" x14ac:dyDescent="0.3">
      <c r="A853" s="502">
        <v>1830000</v>
      </c>
      <c r="B853" s="503" t="s">
        <v>2655</v>
      </c>
      <c r="C853" s="514">
        <v>1142000</v>
      </c>
      <c r="D853" s="514">
        <v>605000</v>
      </c>
      <c r="E853" s="514">
        <v>765000</v>
      </c>
      <c r="F853" s="514">
        <v>766000</v>
      </c>
      <c r="G853" s="514">
        <v>587000</v>
      </c>
      <c r="H853" s="514">
        <v>352000</v>
      </c>
      <c r="I853" s="514">
        <v>256000</v>
      </c>
      <c r="J853" s="514">
        <v>307000</v>
      </c>
      <c r="K853" s="514">
        <v>56000</v>
      </c>
      <c r="L853" s="514">
        <v>56000</v>
      </c>
      <c r="M853" s="514">
        <v>53000</v>
      </c>
      <c r="N853" s="514">
        <v>41000</v>
      </c>
      <c r="O853" s="499"/>
      <c r="P853" s="499"/>
      <c r="Q853" s="499"/>
    </row>
    <row r="854" spans="1:17" ht="14.4" x14ac:dyDescent="0.3">
      <c r="A854" s="502">
        <v>1831000</v>
      </c>
      <c r="B854" s="503" t="s">
        <v>2656</v>
      </c>
      <c r="C854" s="514">
        <v>0</v>
      </c>
      <c r="D854" s="514">
        <v>0</v>
      </c>
      <c r="E854" s="514">
        <v>0</v>
      </c>
      <c r="F854" s="514">
        <v>0</v>
      </c>
      <c r="G854" s="514">
        <v>0</v>
      </c>
      <c r="H854" s="514">
        <v>0</v>
      </c>
      <c r="I854" s="514">
        <v>0</v>
      </c>
      <c r="J854" s="514">
        <v>0</v>
      </c>
      <c r="K854" s="514">
        <v>0</v>
      </c>
      <c r="L854" s="514">
        <v>0</v>
      </c>
      <c r="M854" s="514">
        <v>0</v>
      </c>
      <c r="N854" s="514">
        <v>0</v>
      </c>
      <c r="O854" s="499"/>
      <c r="P854" s="499"/>
      <c r="Q854" s="499"/>
    </row>
    <row r="855" spans="1:17" ht="14.4" x14ac:dyDescent="0.3">
      <c r="A855" s="502">
        <v>1832000</v>
      </c>
      <c r="B855" s="503" t="s">
        <v>2657</v>
      </c>
      <c r="C855" s="514">
        <v>0</v>
      </c>
      <c r="D855" s="514">
        <v>0</v>
      </c>
      <c r="E855" s="514">
        <v>0</v>
      </c>
      <c r="F855" s="514">
        <v>0</v>
      </c>
      <c r="G855" s="514">
        <v>0</v>
      </c>
      <c r="H855" s="514">
        <v>0</v>
      </c>
      <c r="I855" s="514">
        <v>0</v>
      </c>
      <c r="J855" s="514">
        <v>0</v>
      </c>
      <c r="K855" s="514">
        <v>0</v>
      </c>
      <c r="L855" s="514">
        <v>0</v>
      </c>
      <c r="M855" s="514">
        <v>0</v>
      </c>
      <c r="N855" s="514">
        <v>0</v>
      </c>
      <c r="O855" s="499"/>
      <c r="P855" s="499"/>
      <c r="Q855" s="499"/>
    </row>
    <row r="856" spans="1:17" ht="14.4" x14ac:dyDescent="0.3">
      <c r="A856" s="502">
        <v>1840000</v>
      </c>
      <c r="B856" s="503" t="s">
        <v>2658</v>
      </c>
      <c r="C856" s="514">
        <v>0</v>
      </c>
      <c r="D856" s="514">
        <v>0</v>
      </c>
      <c r="E856" s="514">
        <v>0</v>
      </c>
      <c r="F856" s="514">
        <v>0</v>
      </c>
      <c r="G856" s="514">
        <v>0</v>
      </c>
      <c r="H856" s="514">
        <v>0</v>
      </c>
      <c r="I856" s="514">
        <v>0</v>
      </c>
      <c r="J856" s="514">
        <v>0</v>
      </c>
      <c r="K856" s="514">
        <v>0</v>
      </c>
      <c r="L856" s="514">
        <v>0</v>
      </c>
      <c r="M856" s="514">
        <v>0</v>
      </c>
      <c r="N856" s="514">
        <v>0</v>
      </c>
      <c r="O856" s="499"/>
      <c r="P856" s="499"/>
      <c r="Q856" s="499"/>
    </row>
    <row r="857" spans="1:17" ht="14.4" x14ac:dyDescent="0.3">
      <c r="A857" s="502">
        <v>1840001</v>
      </c>
      <c r="B857" s="503" t="s">
        <v>2659</v>
      </c>
      <c r="C857" s="514">
        <v>0</v>
      </c>
      <c r="D857" s="514">
        <v>0</v>
      </c>
      <c r="E857" s="514">
        <v>0</v>
      </c>
      <c r="F857" s="514">
        <v>0</v>
      </c>
      <c r="G857" s="514">
        <v>0</v>
      </c>
      <c r="H857" s="514">
        <v>0</v>
      </c>
      <c r="I857" s="514">
        <v>0</v>
      </c>
      <c r="J857" s="514">
        <v>0</v>
      </c>
      <c r="K857" s="514">
        <v>0</v>
      </c>
      <c r="L857" s="514">
        <v>0</v>
      </c>
      <c r="M857" s="514">
        <v>0</v>
      </c>
      <c r="N857" s="514">
        <v>0</v>
      </c>
      <c r="O857" s="499"/>
      <c r="P857" s="499"/>
      <c r="Q857" s="499"/>
    </row>
    <row r="858" spans="1:17" ht="14.4" x14ac:dyDescent="0.3">
      <c r="A858" s="502">
        <v>1840002</v>
      </c>
      <c r="B858" s="503" t="s">
        <v>2660</v>
      </c>
      <c r="C858" s="514">
        <v>0</v>
      </c>
      <c r="D858" s="514">
        <v>0</v>
      </c>
      <c r="E858" s="514">
        <v>0</v>
      </c>
      <c r="F858" s="514">
        <v>0</v>
      </c>
      <c r="G858" s="514">
        <v>0</v>
      </c>
      <c r="H858" s="514">
        <v>0</v>
      </c>
      <c r="I858" s="514">
        <v>0</v>
      </c>
      <c r="J858" s="514">
        <v>0</v>
      </c>
      <c r="K858" s="514">
        <v>0</v>
      </c>
      <c r="L858" s="514">
        <v>0</v>
      </c>
      <c r="M858" s="514">
        <v>0</v>
      </c>
      <c r="N858" s="514">
        <v>0</v>
      </c>
      <c r="O858" s="499"/>
      <c r="P858" s="499"/>
      <c r="Q858" s="499"/>
    </row>
    <row r="859" spans="1:17" ht="14.4" x14ac:dyDescent="0.3">
      <c r="A859" s="502">
        <v>1840010</v>
      </c>
      <c r="B859" s="503" t="s">
        <v>2661</v>
      </c>
      <c r="C859" s="514">
        <v>0</v>
      </c>
      <c r="D859" s="514">
        <v>0</v>
      </c>
      <c r="E859" s="514">
        <v>0</v>
      </c>
      <c r="F859" s="514">
        <v>0</v>
      </c>
      <c r="G859" s="514">
        <v>0</v>
      </c>
      <c r="H859" s="514">
        <v>0</v>
      </c>
      <c r="I859" s="514">
        <v>0</v>
      </c>
      <c r="J859" s="514">
        <v>0</v>
      </c>
      <c r="K859" s="514">
        <v>0</v>
      </c>
      <c r="L859" s="514">
        <v>0</v>
      </c>
      <c r="M859" s="514">
        <v>0</v>
      </c>
      <c r="N859" s="514">
        <v>0</v>
      </c>
      <c r="O859" s="499"/>
      <c r="P859" s="499"/>
      <c r="Q859" s="499"/>
    </row>
    <row r="860" spans="1:17" ht="14.4" x14ac:dyDescent="0.3">
      <c r="A860" s="502">
        <v>1840020</v>
      </c>
      <c r="B860" s="503" t="s">
        <v>2077</v>
      </c>
      <c r="C860" s="514">
        <v>0</v>
      </c>
      <c r="D860" s="514">
        <v>0</v>
      </c>
      <c r="E860" s="514">
        <v>0</v>
      </c>
      <c r="F860" s="514">
        <v>0</v>
      </c>
      <c r="G860" s="514">
        <v>0</v>
      </c>
      <c r="H860" s="514">
        <v>0</v>
      </c>
      <c r="I860" s="514">
        <v>0</v>
      </c>
      <c r="J860" s="514">
        <v>0</v>
      </c>
      <c r="K860" s="514">
        <v>0</v>
      </c>
      <c r="L860" s="514">
        <v>0</v>
      </c>
      <c r="M860" s="514">
        <v>0</v>
      </c>
      <c r="N860" s="514">
        <v>0</v>
      </c>
      <c r="O860" s="499"/>
      <c r="P860" s="499"/>
      <c r="Q860" s="499"/>
    </row>
    <row r="861" spans="1:17" ht="14.4" x14ac:dyDescent="0.3">
      <c r="A861" s="502">
        <v>1840300</v>
      </c>
      <c r="B861" s="503" t="s">
        <v>2077</v>
      </c>
      <c r="C861" s="514">
        <v>0</v>
      </c>
      <c r="D861" s="514">
        <v>0</v>
      </c>
      <c r="E861" s="514">
        <v>0</v>
      </c>
      <c r="F861" s="514">
        <v>0</v>
      </c>
      <c r="G861" s="514">
        <v>0</v>
      </c>
      <c r="H861" s="514">
        <v>0</v>
      </c>
      <c r="I861" s="514">
        <v>0</v>
      </c>
      <c r="J861" s="514">
        <v>0</v>
      </c>
      <c r="K861" s="514">
        <v>0</v>
      </c>
      <c r="L861" s="514">
        <v>0</v>
      </c>
      <c r="M861" s="514">
        <v>0</v>
      </c>
      <c r="N861" s="514">
        <v>0</v>
      </c>
      <c r="O861" s="499"/>
      <c r="P861" s="499"/>
      <c r="Q861" s="499"/>
    </row>
    <row r="862" spans="1:17" ht="14.4" x14ac:dyDescent="0.3">
      <c r="A862" s="502">
        <v>1840500</v>
      </c>
      <c r="B862" s="503" t="s">
        <v>2662</v>
      </c>
      <c r="C862" s="514">
        <v>0</v>
      </c>
      <c r="D862" s="514">
        <v>0</v>
      </c>
      <c r="E862" s="514">
        <v>0</v>
      </c>
      <c r="F862" s="514">
        <v>0</v>
      </c>
      <c r="G862" s="514">
        <v>0</v>
      </c>
      <c r="H862" s="514">
        <v>0</v>
      </c>
      <c r="I862" s="514">
        <v>0</v>
      </c>
      <c r="J862" s="514">
        <v>0</v>
      </c>
      <c r="K862" s="514">
        <v>0</v>
      </c>
      <c r="L862" s="514">
        <v>0</v>
      </c>
      <c r="M862" s="514">
        <v>0</v>
      </c>
      <c r="N862" s="514">
        <v>0</v>
      </c>
      <c r="O862" s="499"/>
      <c r="P862" s="499"/>
      <c r="Q862" s="499"/>
    </row>
    <row r="863" spans="1:17" ht="14.4" x14ac:dyDescent="0.3">
      <c r="A863" s="502">
        <v>1840510</v>
      </c>
      <c r="B863" s="503" t="s">
        <v>2663</v>
      </c>
      <c r="C863" s="514">
        <v>0</v>
      </c>
      <c r="D863" s="514">
        <v>0</v>
      </c>
      <c r="E863" s="514">
        <v>0</v>
      </c>
      <c r="F863" s="514">
        <v>0</v>
      </c>
      <c r="G863" s="514">
        <v>0</v>
      </c>
      <c r="H863" s="514">
        <v>0</v>
      </c>
      <c r="I863" s="514">
        <v>0</v>
      </c>
      <c r="J863" s="514">
        <v>0</v>
      </c>
      <c r="K863" s="514">
        <v>0</v>
      </c>
      <c r="L863" s="514">
        <v>0</v>
      </c>
      <c r="M863" s="514">
        <v>0</v>
      </c>
      <c r="N863" s="514">
        <v>0</v>
      </c>
      <c r="O863" s="499"/>
      <c r="P863" s="499"/>
      <c r="Q863" s="499"/>
    </row>
    <row r="864" spans="1:17" ht="14.4" x14ac:dyDescent="0.3">
      <c r="A864" s="502">
        <v>1840590</v>
      </c>
      <c r="B864" s="503" t="s">
        <v>2664</v>
      </c>
      <c r="C864" s="514">
        <v>0</v>
      </c>
      <c r="D864" s="514">
        <v>0</v>
      </c>
      <c r="E864" s="514">
        <v>0</v>
      </c>
      <c r="F864" s="514">
        <v>0</v>
      </c>
      <c r="G864" s="514">
        <v>0</v>
      </c>
      <c r="H864" s="514">
        <v>0</v>
      </c>
      <c r="I864" s="514">
        <v>0</v>
      </c>
      <c r="J864" s="514">
        <v>0</v>
      </c>
      <c r="K864" s="514">
        <v>0</v>
      </c>
      <c r="L864" s="514">
        <v>0</v>
      </c>
      <c r="M864" s="514">
        <v>0</v>
      </c>
      <c r="N864" s="514">
        <v>0</v>
      </c>
      <c r="O864" s="499"/>
      <c r="P864" s="499"/>
      <c r="Q864" s="499"/>
    </row>
    <row r="865" spans="1:17" ht="14.4" x14ac:dyDescent="0.3">
      <c r="A865" s="502">
        <v>1840591</v>
      </c>
      <c r="B865" s="503" t="s">
        <v>2665</v>
      </c>
      <c r="C865" s="514">
        <v>0</v>
      </c>
      <c r="D865" s="514">
        <v>0</v>
      </c>
      <c r="E865" s="514">
        <v>0</v>
      </c>
      <c r="F865" s="514">
        <v>0</v>
      </c>
      <c r="G865" s="514">
        <v>0</v>
      </c>
      <c r="H865" s="514">
        <v>0</v>
      </c>
      <c r="I865" s="514">
        <v>0</v>
      </c>
      <c r="J865" s="514">
        <v>0</v>
      </c>
      <c r="K865" s="514">
        <v>0</v>
      </c>
      <c r="L865" s="514">
        <v>0</v>
      </c>
      <c r="M865" s="514">
        <v>0</v>
      </c>
      <c r="N865" s="514">
        <v>0</v>
      </c>
      <c r="O865" s="499"/>
      <c r="P865" s="499"/>
      <c r="Q865" s="499"/>
    </row>
    <row r="866" spans="1:17" ht="14.4" x14ac:dyDescent="0.3">
      <c r="A866" s="502">
        <v>1860010</v>
      </c>
      <c r="B866" s="503" t="s">
        <v>2077</v>
      </c>
      <c r="C866" s="514">
        <v>0</v>
      </c>
      <c r="D866" s="514">
        <v>0</v>
      </c>
      <c r="E866" s="514">
        <v>0</v>
      </c>
      <c r="F866" s="514">
        <v>0</v>
      </c>
      <c r="G866" s="514">
        <v>0</v>
      </c>
      <c r="H866" s="514">
        <v>0</v>
      </c>
      <c r="I866" s="514">
        <v>0</v>
      </c>
      <c r="J866" s="514">
        <v>0</v>
      </c>
      <c r="K866" s="514">
        <v>0</v>
      </c>
      <c r="L866" s="514">
        <v>0</v>
      </c>
      <c r="M866" s="514">
        <v>0</v>
      </c>
      <c r="N866" s="514">
        <v>0</v>
      </c>
      <c r="O866" s="499"/>
      <c r="P866" s="499"/>
      <c r="Q866" s="499"/>
    </row>
    <row r="867" spans="1:17" ht="14.4" x14ac:dyDescent="0.3">
      <c r="A867" s="502">
        <v>1860020</v>
      </c>
      <c r="B867" s="503" t="s">
        <v>2666</v>
      </c>
      <c r="C867" s="514">
        <v>1653000</v>
      </c>
      <c r="D867" s="514">
        <v>1653000</v>
      </c>
      <c r="E867" s="514">
        <v>1593000</v>
      </c>
      <c r="F867" s="514">
        <v>1593000</v>
      </c>
      <c r="G867" s="514">
        <v>1593000</v>
      </c>
      <c r="H867" s="514">
        <v>1533000</v>
      </c>
      <c r="I867" s="514">
        <v>1533000</v>
      </c>
      <c r="J867" s="514">
        <v>1533000</v>
      </c>
      <c r="K867" s="514">
        <v>1473000</v>
      </c>
      <c r="L867" s="514">
        <v>1473000</v>
      </c>
      <c r="M867" s="514">
        <v>1473000</v>
      </c>
      <c r="N867" s="514">
        <v>1413000</v>
      </c>
      <c r="O867" s="499"/>
      <c r="P867" s="499"/>
      <c r="Q867" s="499"/>
    </row>
    <row r="868" spans="1:17" ht="14.4" x14ac:dyDescent="0.3">
      <c r="A868" s="502">
        <v>1860030</v>
      </c>
      <c r="B868" s="503" t="s">
        <v>2667</v>
      </c>
      <c r="C868" s="514">
        <v>0</v>
      </c>
      <c r="D868" s="514">
        <v>0</v>
      </c>
      <c r="E868" s="514">
        <v>0</v>
      </c>
      <c r="F868" s="514">
        <v>0</v>
      </c>
      <c r="G868" s="514">
        <v>0</v>
      </c>
      <c r="H868" s="514">
        <v>0</v>
      </c>
      <c r="I868" s="514">
        <v>0</v>
      </c>
      <c r="J868" s="514">
        <v>0</v>
      </c>
      <c r="K868" s="514">
        <v>0</v>
      </c>
      <c r="L868" s="514">
        <v>0</v>
      </c>
      <c r="M868" s="514">
        <v>0</v>
      </c>
      <c r="N868" s="514">
        <v>0</v>
      </c>
      <c r="O868" s="499"/>
      <c r="P868" s="499"/>
      <c r="Q868" s="499"/>
    </row>
    <row r="869" spans="1:17" ht="14.4" x14ac:dyDescent="0.3">
      <c r="A869" s="502">
        <v>1860040</v>
      </c>
      <c r="B869" s="503" t="s">
        <v>2668</v>
      </c>
      <c r="C869" s="514">
        <v>0</v>
      </c>
      <c r="D869" s="514">
        <v>0</v>
      </c>
      <c r="E869" s="514">
        <v>0</v>
      </c>
      <c r="F869" s="514">
        <v>0</v>
      </c>
      <c r="G869" s="514">
        <v>0</v>
      </c>
      <c r="H869" s="514">
        <v>0</v>
      </c>
      <c r="I869" s="514">
        <v>0</v>
      </c>
      <c r="J869" s="514">
        <v>0</v>
      </c>
      <c r="K869" s="514">
        <v>0</v>
      </c>
      <c r="L869" s="514">
        <v>0</v>
      </c>
      <c r="M869" s="514">
        <v>0</v>
      </c>
      <c r="N869" s="514">
        <v>0</v>
      </c>
      <c r="O869" s="499"/>
      <c r="P869" s="499"/>
      <c r="Q869" s="499"/>
    </row>
    <row r="870" spans="1:17" ht="14.4" x14ac:dyDescent="0.3">
      <c r="A870" s="502">
        <v>1860100</v>
      </c>
      <c r="B870" s="503" t="s">
        <v>2669</v>
      </c>
      <c r="C870" s="514">
        <v>0</v>
      </c>
      <c r="D870" s="514">
        <v>0</v>
      </c>
      <c r="E870" s="514">
        <v>0</v>
      </c>
      <c r="F870" s="514">
        <v>0</v>
      </c>
      <c r="G870" s="514">
        <v>0</v>
      </c>
      <c r="H870" s="514">
        <v>0</v>
      </c>
      <c r="I870" s="514">
        <v>0</v>
      </c>
      <c r="J870" s="514">
        <v>0</v>
      </c>
      <c r="K870" s="514">
        <v>0</v>
      </c>
      <c r="L870" s="514">
        <v>0</v>
      </c>
      <c r="M870" s="514">
        <v>0</v>
      </c>
      <c r="N870" s="514">
        <v>0</v>
      </c>
      <c r="O870" s="499"/>
      <c r="P870" s="499"/>
      <c r="Q870" s="499"/>
    </row>
    <row r="871" spans="1:17" ht="14.4" x14ac:dyDescent="0.3">
      <c r="A871" s="502">
        <v>1860200</v>
      </c>
      <c r="B871" s="503" t="s">
        <v>2670</v>
      </c>
      <c r="C871" s="514">
        <v>0</v>
      </c>
      <c r="D871" s="514">
        <v>0</v>
      </c>
      <c r="E871" s="514">
        <v>0</v>
      </c>
      <c r="F871" s="514">
        <v>0</v>
      </c>
      <c r="G871" s="514">
        <v>0</v>
      </c>
      <c r="H871" s="514">
        <v>0</v>
      </c>
      <c r="I871" s="514">
        <v>0</v>
      </c>
      <c r="J871" s="514">
        <v>0</v>
      </c>
      <c r="K871" s="514">
        <v>0</v>
      </c>
      <c r="L871" s="514">
        <v>0</v>
      </c>
      <c r="M871" s="514">
        <v>0</v>
      </c>
      <c r="N871" s="514">
        <v>0</v>
      </c>
      <c r="O871" s="499"/>
      <c r="P871" s="499"/>
      <c r="Q871" s="499"/>
    </row>
    <row r="872" spans="1:17" ht="14.4" x14ac:dyDescent="0.3">
      <c r="A872" s="502">
        <v>1860201</v>
      </c>
      <c r="B872" s="503" t="s">
        <v>2671</v>
      </c>
      <c r="C872" s="514">
        <v>0</v>
      </c>
      <c r="D872" s="514">
        <v>0</v>
      </c>
      <c r="E872" s="514">
        <v>0</v>
      </c>
      <c r="F872" s="514">
        <v>0</v>
      </c>
      <c r="G872" s="514">
        <v>0</v>
      </c>
      <c r="H872" s="514">
        <v>0</v>
      </c>
      <c r="I872" s="514">
        <v>0</v>
      </c>
      <c r="J872" s="514">
        <v>0</v>
      </c>
      <c r="K872" s="514">
        <v>0</v>
      </c>
      <c r="L872" s="514">
        <v>0</v>
      </c>
      <c r="M872" s="514">
        <v>0</v>
      </c>
      <c r="N872" s="514">
        <v>0</v>
      </c>
      <c r="O872" s="499"/>
      <c r="P872" s="499"/>
      <c r="Q872" s="499"/>
    </row>
    <row r="873" spans="1:17" ht="14.4" x14ac:dyDescent="0.3">
      <c r="A873" s="502">
        <v>1860202</v>
      </c>
      <c r="B873" s="503" t="s">
        <v>2672</v>
      </c>
      <c r="C873" s="514">
        <v>0</v>
      </c>
      <c r="D873" s="514">
        <v>0</v>
      </c>
      <c r="E873" s="514">
        <v>0</v>
      </c>
      <c r="F873" s="514">
        <v>0</v>
      </c>
      <c r="G873" s="514">
        <v>0</v>
      </c>
      <c r="H873" s="514">
        <v>0</v>
      </c>
      <c r="I873" s="514">
        <v>0</v>
      </c>
      <c r="J873" s="514">
        <v>0</v>
      </c>
      <c r="K873" s="514">
        <v>0</v>
      </c>
      <c r="L873" s="514">
        <v>0</v>
      </c>
      <c r="M873" s="514">
        <v>0</v>
      </c>
      <c r="N873" s="514">
        <v>0</v>
      </c>
      <c r="O873" s="499"/>
      <c r="P873" s="499"/>
      <c r="Q873" s="499"/>
    </row>
    <row r="874" spans="1:17" ht="14.4" x14ac:dyDescent="0.3">
      <c r="A874" s="502">
        <v>1860800</v>
      </c>
      <c r="B874" s="503" t="s">
        <v>2673</v>
      </c>
      <c r="C874" s="514">
        <v>1588053.26</v>
      </c>
      <c r="D874" s="514">
        <v>275605.90000000002</v>
      </c>
      <c r="E874" s="514">
        <v>98606.53</v>
      </c>
      <c r="F874" s="514">
        <v>329088.8</v>
      </c>
      <c r="G874" s="514">
        <v>199592.7</v>
      </c>
      <c r="H874" s="514">
        <v>133812</v>
      </c>
      <c r="I874" s="514">
        <v>623676.31999999995</v>
      </c>
      <c r="J874" s="514">
        <v>313000</v>
      </c>
      <c r="K874" s="514">
        <v>150000</v>
      </c>
      <c r="L874" s="514">
        <v>138000</v>
      </c>
      <c r="M874" s="514">
        <v>458000</v>
      </c>
      <c r="N874" s="514">
        <v>44000</v>
      </c>
      <c r="O874" s="499"/>
      <c r="P874" s="499"/>
      <c r="Q874" s="499"/>
    </row>
    <row r="875" spans="1:17" ht="14.4" x14ac:dyDescent="0.3">
      <c r="A875" s="502">
        <v>1860801</v>
      </c>
      <c r="B875" s="503" t="s">
        <v>2674</v>
      </c>
      <c r="C875" s="514">
        <v>0</v>
      </c>
      <c r="D875" s="514">
        <v>0</v>
      </c>
      <c r="E875" s="514">
        <v>0</v>
      </c>
      <c r="F875" s="514">
        <v>0</v>
      </c>
      <c r="G875" s="514">
        <v>0</v>
      </c>
      <c r="H875" s="514">
        <v>0</v>
      </c>
      <c r="I875" s="514">
        <v>0</v>
      </c>
      <c r="J875" s="514">
        <v>0</v>
      </c>
      <c r="K875" s="514">
        <v>0</v>
      </c>
      <c r="L875" s="514">
        <v>0</v>
      </c>
      <c r="M875" s="514">
        <v>0</v>
      </c>
      <c r="N875" s="514">
        <v>0</v>
      </c>
      <c r="O875" s="499"/>
      <c r="P875" s="499"/>
      <c r="Q875" s="499"/>
    </row>
    <row r="876" spans="1:17" ht="14.4" x14ac:dyDescent="0.3">
      <c r="A876" s="502">
        <v>1870000</v>
      </c>
      <c r="B876" s="503" t="s">
        <v>2675</v>
      </c>
      <c r="C876" s="514">
        <v>0</v>
      </c>
      <c r="D876" s="514">
        <v>0</v>
      </c>
      <c r="E876" s="514">
        <v>0</v>
      </c>
      <c r="F876" s="514">
        <v>0</v>
      </c>
      <c r="G876" s="514">
        <v>0</v>
      </c>
      <c r="H876" s="514">
        <v>0</v>
      </c>
      <c r="I876" s="514">
        <v>0</v>
      </c>
      <c r="J876" s="514">
        <v>0</v>
      </c>
      <c r="K876" s="514">
        <v>0</v>
      </c>
      <c r="L876" s="514">
        <v>0</v>
      </c>
      <c r="M876" s="514">
        <v>0</v>
      </c>
      <c r="N876" s="514">
        <v>0</v>
      </c>
      <c r="O876" s="499"/>
      <c r="P876" s="499"/>
      <c r="Q876" s="499"/>
    </row>
    <row r="877" spans="1:17" ht="14.4" x14ac:dyDescent="0.3">
      <c r="A877" s="502">
        <v>1880000</v>
      </c>
      <c r="B877" s="503" t="s">
        <v>2676</v>
      </c>
      <c r="C877" s="514">
        <v>0</v>
      </c>
      <c r="D877" s="514">
        <v>0</v>
      </c>
      <c r="E877" s="514">
        <v>0</v>
      </c>
      <c r="F877" s="514">
        <v>0</v>
      </c>
      <c r="G877" s="514">
        <v>0</v>
      </c>
      <c r="H877" s="514">
        <v>0</v>
      </c>
      <c r="I877" s="514">
        <v>0</v>
      </c>
      <c r="J877" s="514">
        <v>0</v>
      </c>
      <c r="K877" s="514">
        <v>0</v>
      </c>
      <c r="L877" s="514">
        <v>0</v>
      </c>
      <c r="M877" s="514">
        <v>0</v>
      </c>
      <c r="N877" s="514">
        <v>0</v>
      </c>
      <c r="O877" s="499"/>
      <c r="P877" s="499"/>
      <c r="Q877" s="499"/>
    </row>
    <row r="878" spans="1:17" ht="14.4" x14ac:dyDescent="0.3">
      <c r="A878" s="502">
        <v>1890100</v>
      </c>
      <c r="B878" s="503" t="s">
        <v>2677</v>
      </c>
      <c r="C878" s="514">
        <v>382158.84</v>
      </c>
      <c r="D878" s="514">
        <v>382158.84</v>
      </c>
      <c r="E878" s="514">
        <v>382158.84</v>
      </c>
      <c r="F878" s="514">
        <v>382158.84</v>
      </c>
      <c r="G878" s="514">
        <v>382158.84</v>
      </c>
      <c r="H878" s="514">
        <v>382158.84</v>
      </c>
      <c r="I878" s="514">
        <v>382158.84</v>
      </c>
      <c r="J878" s="514">
        <v>382158.84</v>
      </c>
      <c r="K878" s="514">
        <v>376739.57</v>
      </c>
      <c r="L878" s="514">
        <v>371320.3</v>
      </c>
      <c r="M878" s="514">
        <v>365901.03</v>
      </c>
      <c r="N878" s="514">
        <v>360481.76</v>
      </c>
      <c r="O878" s="499"/>
      <c r="P878" s="499"/>
      <c r="Q878" s="499"/>
    </row>
    <row r="879" spans="1:17" ht="14.4" x14ac:dyDescent="0.3">
      <c r="A879" s="502">
        <v>1890200</v>
      </c>
      <c r="B879" s="503" t="s">
        <v>2678</v>
      </c>
      <c r="C879" s="514">
        <v>2503027.35</v>
      </c>
      <c r="D879" s="514">
        <v>2471180.7799999998</v>
      </c>
      <c r="E879" s="514">
        <v>2439334.21</v>
      </c>
      <c r="F879" s="514">
        <v>2407487.64</v>
      </c>
      <c r="G879" s="514">
        <v>2375641.0699999998</v>
      </c>
      <c r="H879" s="514">
        <v>2343794.5</v>
      </c>
      <c r="I879" s="514">
        <v>2311947.9300000002</v>
      </c>
      <c r="J879" s="514">
        <v>2280101.36</v>
      </c>
      <c r="K879" s="514">
        <v>2253674.06</v>
      </c>
      <c r="L879" s="514">
        <v>2227246.7599999998</v>
      </c>
      <c r="M879" s="514">
        <v>2200819.46</v>
      </c>
      <c r="N879" s="514">
        <v>2174392.16</v>
      </c>
      <c r="O879" s="499"/>
      <c r="P879" s="499"/>
      <c r="Q879" s="499"/>
    </row>
    <row r="880" spans="1:17" ht="14.4" x14ac:dyDescent="0.3">
      <c r="A880" s="502">
        <v>1900100</v>
      </c>
      <c r="B880" s="503" t="s">
        <v>2679</v>
      </c>
      <c r="C880" s="514">
        <v>0</v>
      </c>
      <c r="D880" s="514">
        <v>0</v>
      </c>
      <c r="E880" s="514">
        <v>0</v>
      </c>
      <c r="F880" s="514">
        <v>0</v>
      </c>
      <c r="G880" s="514">
        <v>0</v>
      </c>
      <c r="H880" s="514">
        <v>0</v>
      </c>
      <c r="I880" s="514">
        <v>0</v>
      </c>
      <c r="J880" s="514">
        <v>0</v>
      </c>
      <c r="K880" s="514">
        <v>0</v>
      </c>
      <c r="L880" s="514">
        <v>0</v>
      </c>
      <c r="M880" s="514">
        <v>0</v>
      </c>
      <c r="N880" s="514">
        <v>0</v>
      </c>
      <c r="O880" s="499"/>
      <c r="P880" s="499"/>
      <c r="Q880" s="499"/>
    </row>
    <row r="881" spans="1:17" ht="14.4" x14ac:dyDescent="0.3">
      <c r="A881" s="502">
        <v>1900300</v>
      </c>
      <c r="B881" s="503" t="s">
        <v>2680</v>
      </c>
      <c r="C881" s="514">
        <v>101477957.83</v>
      </c>
      <c r="D881" s="514">
        <v>101492636.73</v>
      </c>
      <c r="E881" s="514">
        <v>101518891.62</v>
      </c>
      <c r="F881" s="514">
        <v>101545055.40000001</v>
      </c>
      <c r="G881" s="514">
        <v>101483716.45999999</v>
      </c>
      <c r="H881" s="514">
        <v>101403526.31</v>
      </c>
      <c r="I881" s="514">
        <v>101087727.81999999</v>
      </c>
      <c r="J881" s="514">
        <v>100983364.48999999</v>
      </c>
      <c r="K881" s="514">
        <v>100643928.22</v>
      </c>
      <c r="L881" s="514">
        <v>100542866.90000001</v>
      </c>
      <c r="M881" s="514">
        <v>100432143.66</v>
      </c>
      <c r="N881" s="514">
        <v>100377842.53</v>
      </c>
      <c r="O881" s="499"/>
      <c r="P881" s="499"/>
      <c r="Q881" s="499"/>
    </row>
    <row r="882" spans="1:17" ht="14.4" x14ac:dyDescent="0.3">
      <c r="A882" s="502">
        <v>1900302</v>
      </c>
      <c r="B882" s="503" t="s">
        <v>2681</v>
      </c>
      <c r="C882" s="514">
        <v>0</v>
      </c>
      <c r="D882" s="514">
        <v>0</v>
      </c>
      <c r="E882" s="514">
        <v>0</v>
      </c>
      <c r="F882" s="514">
        <v>0</v>
      </c>
      <c r="G882" s="514">
        <v>0</v>
      </c>
      <c r="H882" s="514">
        <v>0</v>
      </c>
      <c r="I882" s="514">
        <v>0</v>
      </c>
      <c r="J882" s="514">
        <v>0</v>
      </c>
      <c r="K882" s="514">
        <v>0</v>
      </c>
      <c r="L882" s="514">
        <v>0</v>
      </c>
      <c r="M882" s="514">
        <v>0</v>
      </c>
      <c r="N882" s="514">
        <v>0</v>
      </c>
      <c r="O882" s="499"/>
      <c r="P882" s="499"/>
      <c r="Q882" s="499"/>
    </row>
    <row r="883" spans="1:17" ht="14.4" x14ac:dyDescent="0.3">
      <c r="A883" s="502">
        <v>1900303</v>
      </c>
      <c r="B883" s="503" t="s">
        <v>2682</v>
      </c>
      <c r="C883" s="514">
        <v>113346464.8</v>
      </c>
      <c r="D883" s="514">
        <v>113346464.8</v>
      </c>
      <c r="E883" s="514">
        <v>113346464.8</v>
      </c>
      <c r="F883" s="514">
        <v>113346464.8</v>
      </c>
      <c r="G883" s="514">
        <v>113346464.8</v>
      </c>
      <c r="H883" s="514">
        <v>113346464.8</v>
      </c>
      <c r="I883" s="514">
        <v>113346464.8</v>
      </c>
      <c r="J883" s="514">
        <v>113346464.8</v>
      </c>
      <c r="K883" s="514">
        <v>113346464.8</v>
      </c>
      <c r="L883" s="514">
        <v>113346464.8</v>
      </c>
      <c r="M883" s="514">
        <v>113346464.8</v>
      </c>
      <c r="N883" s="514">
        <v>113346464.8</v>
      </c>
      <c r="O883" s="499"/>
      <c r="P883" s="499"/>
      <c r="Q883" s="499"/>
    </row>
    <row r="884" spans="1:17" ht="14.4" x14ac:dyDescent="0.3">
      <c r="A884" s="502">
        <v>1900304</v>
      </c>
      <c r="B884" s="503" t="s">
        <v>2077</v>
      </c>
      <c r="C884" s="514">
        <v>0</v>
      </c>
      <c r="D884" s="514">
        <v>0</v>
      </c>
      <c r="E884" s="514">
        <v>0</v>
      </c>
      <c r="F884" s="514">
        <v>0</v>
      </c>
      <c r="G884" s="514">
        <v>0</v>
      </c>
      <c r="H884" s="514">
        <v>0</v>
      </c>
      <c r="I884" s="514">
        <v>0</v>
      </c>
      <c r="J884" s="514">
        <v>0</v>
      </c>
      <c r="K884" s="514">
        <v>0</v>
      </c>
      <c r="L884" s="514">
        <v>0</v>
      </c>
      <c r="M884" s="514">
        <v>0</v>
      </c>
      <c r="N884" s="514">
        <v>0</v>
      </c>
      <c r="O884" s="499"/>
      <c r="P884" s="499"/>
      <c r="Q884" s="499"/>
    </row>
    <row r="885" spans="1:17" ht="14.4" x14ac:dyDescent="0.3">
      <c r="A885" s="502">
        <v>1900305</v>
      </c>
      <c r="B885" s="503" t="s">
        <v>2683</v>
      </c>
      <c r="C885" s="514">
        <v>20155.91</v>
      </c>
      <c r="D885" s="514">
        <v>20155.91</v>
      </c>
      <c r="E885" s="514">
        <v>20155.91</v>
      </c>
      <c r="F885" s="514">
        <v>20155.91</v>
      </c>
      <c r="G885" s="514">
        <v>20155.91</v>
      </c>
      <c r="H885" s="514">
        <v>20155.91</v>
      </c>
      <c r="I885" s="514">
        <v>20155.91</v>
      </c>
      <c r="J885" s="514">
        <v>20155.91</v>
      </c>
      <c r="K885" s="514">
        <v>20155.91</v>
      </c>
      <c r="L885" s="514">
        <v>20155.91</v>
      </c>
      <c r="M885" s="514">
        <v>20155.91</v>
      </c>
      <c r="N885" s="514">
        <v>20155.91</v>
      </c>
      <c r="O885" s="499"/>
      <c r="P885" s="499"/>
      <c r="Q885" s="499"/>
    </row>
    <row r="886" spans="1:17" ht="14.4" x14ac:dyDescent="0.3">
      <c r="A886" s="502">
        <v>1900306</v>
      </c>
      <c r="B886" s="503" t="s">
        <v>2684</v>
      </c>
      <c r="C886" s="514">
        <v>1926508.04</v>
      </c>
      <c r="D886" s="514">
        <v>1926508.04</v>
      </c>
      <c r="E886" s="514">
        <v>1926508.04</v>
      </c>
      <c r="F886" s="514">
        <v>1926508.04</v>
      </c>
      <c r="G886" s="514">
        <v>1926508.04</v>
      </c>
      <c r="H886" s="514">
        <v>1926508.04</v>
      </c>
      <c r="I886" s="514">
        <v>1926508.04</v>
      </c>
      <c r="J886" s="514">
        <v>1926508.04</v>
      </c>
      <c r="K886" s="514">
        <v>1926508.04</v>
      </c>
      <c r="L886" s="514">
        <v>1926508.04</v>
      </c>
      <c r="M886" s="514">
        <v>1926508.04</v>
      </c>
      <c r="N886" s="514">
        <v>1926508.04</v>
      </c>
      <c r="O886" s="499"/>
      <c r="P886" s="499"/>
      <c r="Q886" s="499"/>
    </row>
    <row r="887" spans="1:17" ht="14.4" x14ac:dyDescent="0.3">
      <c r="A887" s="502">
        <v>1900307</v>
      </c>
      <c r="B887" s="503" t="s">
        <v>2685</v>
      </c>
      <c r="C887" s="514">
        <v>716897.31</v>
      </c>
      <c r="D887" s="514">
        <v>715279.74</v>
      </c>
      <c r="E887" s="514">
        <v>713662.17</v>
      </c>
      <c r="F887" s="514">
        <v>712044.61</v>
      </c>
      <c r="G887" s="514">
        <v>710427.04</v>
      </c>
      <c r="H887" s="514">
        <v>708809.48</v>
      </c>
      <c r="I887" s="514">
        <v>707191.91</v>
      </c>
      <c r="J887" s="514">
        <v>705574.34</v>
      </c>
      <c r="K887" s="514">
        <v>703956.78</v>
      </c>
      <c r="L887" s="514">
        <v>702339.21</v>
      </c>
      <c r="M887" s="514">
        <v>700721.65</v>
      </c>
      <c r="N887" s="514">
        <v>699104.08</v>
      </c>
      <c r="O887" s="499"/>
      <c r="P887" s="499"/>
      <c r="Q887" s="499"/>
    </row>
    <row r="888" spans="1:17" ht="14.4" x14ac:dyDescent="0.3">
      <c r="A888" s="502">
        <v>1900308</v>
      </c>
      <c r="B888" s="503" t="s">
        <v>2686</v>
      </c>
      <c r="C888" s="514">
        <v>79281055.840000004</v>
      </c>
      <c r="D888" s="514">
        <v>79281055.840000004</v>
      </c>
      <c r="E888" s="514">
        <v>79281055.840000004</v>
      </c>
      <c r="F888" s="514">
        <v>79281055.840000004</v>
      </c>
      <c r="G888" s="514">
        <v>79281055.840000004</v>
      </c>
      <c r="H888" s="514">
        <v>79281055.840000004</v>
      </c>
      <c r="I888" s="514">
        <v>79281055.840000004</v>
      </c>
      <c r="J888" s="514">
        <v>79281055.840000004</v>
      </c>
      <c r="K888" s="514">
        <v>79281055.840000004</v>
      </c>
      <c r="L888" s="514">
        <v>79281055.840000004</v>
      </c>
      <c r="M888" s="514">
        <v>79281055.840000004</v>
      </c>
      <c r="N888" s="514">
        <v>79281055.840000004</v>
      </c>
      <c r="O888" s="499"/>
      <c r="P888" s="499"/>
      <c r="Q888" s="499"/>
    </row>
    <row r="889" spans="1:17" ht="14.4" x14ac:dyDescent="0.3">
      <c r="A889" s="502">
        <v>1900309</v>
      </c>
      <c r="B889" s="503" t="s">
        <v>2687</v>
      </c>
      <c r="C889" s="514">
        <v>0</v>
      </c>
      <c r="D889" s="514">
        <v>0</v>
      </c>
      <c r="E889" s="514">
        <v>0</v>
      </c>
      <c r="F889" s="514">
        <v>0</v>
      </c>
      <c r="G889" s="514">
        <v>0</v>
      </c>
      <c r="H889" s="514">
        <v>0</v>
      </c>
      <c r="I889" s="514">
        <v>0</v>
      </c>
      <c r="J889" s="514">
        <v>0</v>
      </c>
      <c r="K889" s="514">
        <v>0</v>
      </c>
      <c r="L889" s="514">
        <v>0</v>
      </c>
      <c r="M889" s="514">
        <v>0</v>
      </c>
      <c r="N889" s="514">
        <v>0</v>
      </c>
      <c r="O889" s="499"/>
      <c r="P889" s="499"/>
      <c r="Q889" s="499"/>
    </row>
    <row r="890" spans="1:17" ht="14.4" x14ac:dyDescent="0.3">
      <c r="A890" s="502">
        <v>1900310</v>
      </c>
      <c r="B890" s="503" t="s">
        <v>2688</v>
      </c>
      <c r="C890" s="514">
        <v>299478157.70999998</v>
      </c>
      <c r="D890" s="514">
        <v>314675857.70999998</v>
      </c>
      <c r="E890" s="514">
        <v>315125857.70999998</v>
      </c>
      <c r="F890" s="514">
        <v>340743492.70999998</v>
      </c>
      <c r="G890" s="514">
        <v>340743492.70999998</v>
      </c>
      <c r="H890" s="514">
        <v>341193492.70999998</v>
      </c>
      <c r="I890" s="514">
        <v>341193492.70999998</v>
      </c>
      <c r="J890" s="514">
        <v>341193492.70999998</v>
      </c>
      <c r="K890" s="514">
        <v>341643492.70999998</v>
      </c>
      <c r="L890" s="514">
        <v>341643492.70999998</v>
      </c>
      <c r="M890" s="514">
        <v>341643492.70999998</v>
      </c>
      <c r="N890" s="514">
        <v>342093492.70999998</v>
      </c>
      <c r="O890" s="499"/>
      <c r="P890" s="499"/>
      <c r="Q890" s="499"/>
    </row>
    <row r="891" spans="1:17" ht="14.4" x14ac:dyDescent="0.3">
      <c r="A891" s="502">
        <v>1900315</v>
      </c>
      <c r="B891" s="503" t="s">
        <v>2689</v>
      </c>
      <c r="C891" s="514">
        <v>55964858.710000001</v>
      </c>
      <c r="D891" s="514">
        <v>58360383.710000001</v>
      </c>
      <c r="E891" s="514">
        <v>61134858.710000001</v>
      </c>
      <c r="F891" s="514">
        <v>64783283.710000001</v>
      </c>
      <c r="G891" s="514">
        <v>68837333.709999993</v>
      </c>
      <c r="H891" s="514">
        <v>72492358.709999993</v>
      </c>
      <c r="I891" s="514">
        <v>75979908.709999993</v>
      </c>
      <c r="J891" s="514">
        <v>79358283.709999993</v>
      </c>
      <c r="K891" s="514">
        <v>82149383.709999993</v>
      </c>
      <c r="L891" s="514">
        <v>85051458.709999993</v>
      </c>
      <c r="M891" s="514">
        <v>87269058.709999993</v>
      </c>
      <c r="N891" s="514">
        <v>89085158.709999993</v>
      </c>
      <c r="O891" s="499"/>
      <c r="P891" s="499"/>
      <c r="Q891" s="499"/>
    </row>
    <row r="892" spans="1:17" ht="14.4" x14ac:dyDescent="0.3">
      <c r="A892" s="502">
        <v>1900400</v>
      </c>
      <c r="B892" s="503" t="s">
        <v>2690</v>
      </c>
      <c r="C892" s="514">
        <v>22871925.059999999</v>
      </c>
      <c r="D892" s="514">
        <v>22856320.280000001</v>
      </c>
      <c r="E892" s="514">
        <v>22843923.77</v>
      </c>
      <c r="F892" s="514">
        <v>22831502.010000002</v>
      </c>
      <c r="G892" s="514">
        <v>22794829.039999999</v>
      </c>
      <c r="H892" s="514">
        <v>22752931.510000002</v>
      </c>
      <c r="I892" s="514">
        <v>22645735.620000001</v>
      </c>
      <c r="J892" s="514">
        <v>22597138.539999999</v>
      </c>
      <c r="K892" s="514">
        <v>22483391.489999998</v>
      </c>
      <c r="L892" s="514">
        <v>22435709.559999999</v>
      </c>
      <c r="M892" s="514">
        <v>22385349.84</v>
      </c>
      <c r="N892" s="514">
        <v>22350627.41</v>
      </c>
      <c r="O892" s="499"/>
      <c r="P892" s="499"/>
      <c r="Q892" s="499"/>
    </row>
    <row r="893" spans="1:17" ht="14.4" x14ac:dyDescent="0.3">
      <c r="A893" s="502">
        <v>1900401</v>
      </c>
      <c r="B893" s="503" t="s">
        <v>2691</v>
      </c>
      <c r="C893" s="514">
        <v>0</v>
      </c>
      <c r="D893" s="514">
        <v>0</v>
      </c>
      <c r="E893" s="514">
        <v>0</v>
      </c>
      <c r="F893" s="514">
        <v>0</v>
      </c>
      <c r="G893" s="514">
        <v>0</v>
      </c>
      <c r="H893" s="514">
        <v>0</v>
      </c>
      <c r="I893" s="514">
        <v>0</v>
      </c>
      <c r="J893" s="514">
        <v>0</v>
      </c>
      <c r="K893" s="514">
        <v>0</v>
      </c>
      <c r="L893" s="514">
        <v>0</v>
      </c>
      <c r="M893" s="514">
        <v>0</v>
      </c>
      <c r="N893" s="514">
        <v>0</v>
      </c>
      <c r="O893" s="499"/>
      <c r="P893" s="499"/>
      <c r="Q893" s="499"/>
    </row>
    <row r="894" spans="1:17" ht="14.4" x14ac:dyDescent="0.3">
      <c r="A894" s="502">
        <v>1900402</v>
      </c>
      <c r="B894" s="503" t="s">
        <v>2692</v>
      </c>
      <c r="C894" s="514">
        <v>0</v>
      </c>
      <c r="D894" s="514">
        <v>0</v>
      </c>
      <c r="E894" s="514">
        <v>0</v>
      </c>
      <c r="F894" s="514">
        <v>0</v>
      </c>
      <c r="G894" s="514">
        <v>0</v>
      </c>
      <c r="H894" s="514">
        <v>0</v>
      </c>
      <c r="I894" s="514">
        <v>0</v>
      </c>
      <c r="J894" s="514">
        <v>0</v>
      </c>
      <c r="K894" s="514">
        <v>0</v>
      </c>
      <c r="L894" s="514">
        <v>0</v>
      </c>
      <c r="M894" s="514">
        <v>0</v>
      </c>
      <c r="N894" s="514">
        <v>0</v>
      </c>
      <c r="O894" s="499"/>
      <c r="P894" s="499"/>
      <c r="Q894" s="499"/>
    </row>
    <row r="895" spans="1:17" ht="14.4" x14ac:dyDescent="0.3">
      <c r="A895" s="502">
        <v>1900403</v>
      </c>
      <c r="B895" s="503" t="s">
        <v>2693</v>
      </c>
      <c r="C895" s="514">
        <v>17152356.489999998</v>
      </c>
      <c r="D895" s="514">
        <v>17152356.489999998</v>
      </c>
      <c r="E895" s="514">
        <v>17152356.489999998</v>
      </c>
      <c r="F895" s="514">
        <v>17152356.489999998</v>
      </c>
      <c r="G895" s="514">
        <v>17152356.489999998</v>
      </c>
      <c r="H895" s="514">
        <v>17152356.489999998</v>
      </c>
      <c r="I895" s="514">
        <v>17152356.489999998</v>
      </c>
      <c r="J895" s="514">
        <v>17152356.489999998</v>
      </c>
      <c r="K895" s="514">
        <v>17152356.489999998</v>
      </c>
      <c r="L895" s="514">
        <v>17152356.489999998</v>
      </c>
      <c r="M895" s="514">
        <v>17152356.489999998</v>
      </c>
      <c r="N895" s="514">
        <v>17152356.489999998</v>
      </c>
      <c r="O895" s="499"/>
      <c r="P895" s="499"/>
      <c r="Q895" s="499"/>
    </row>
    <row r="896" spans="1:17" ht="14.4" x14ac:dyDescent="0.3">
      <c r="A896" s="502">
        <v>1900404</v>
      </c>
      <c r="B896" s="503" t="s">
        <v>2077</v>
      </c>
      <c r="C896" s="514">
        <v>0</v>
      </c>
      <c r="D896" s="514">
        <v>0</v>
      </c>
      <c r="E896" s="514">
        <v>0</v>
      </c>
      <c r="F896" s="514">
        <v>0</v>
      </c>
      <c r="G896" s="514">
        <v>0</v>
      </c>
      <c r="H896" s="514">
        <v>0</v>
      </c>
      <c r="I896" s="514">
        <v>0</v>
      </c>
      <c r="J896" s="514">
        <v>0</v>
      </c>
      <c r="K896" s="514">
        <v>0</v>
      </c>
      <c r="L896" s="514">
        <v>0</v>
      </c>
      <c r="M896" s="514">
        <v>0</v>
      </c>
      <c r="N896" s="514">
        <v>0</v>
      </c>
      <c r="O896" s="499"/>
      <c r="P896" s="499"/>
      <c r="Q896" s="499"/>
    </row>
    <row r="897" spans="1:17" ht="14.4" x14ac:dyDescent="0.3">
      <c r="A897" s="502">
        <v>1900405</v>
      </c>
      <c r="B897" s="503" t="s">
        <v>2694</v>
      </c>
      <c r="C897" s="514">
        <v>5584.08</v>
      </c>
      <c r="D897" s="514">
        <v>5584.08</v>
      </c>
      <c r="E897" s="514">
        <v>5584.08</v>
      </c>
      <c r="F897" s="514">
        <v>5584.08</v>
      </c>
      <c r="G897" s="514">
        <v>5584.08</v>
      </c>
      <c r="H897" s="514">
        <v>5584.08</v>
      </c>
      <c r="I897" s="514">
        <v>5584.08</v>
      </c>
      <c r="J897" s="514">
        <v>5584.08</v>
      </c>
      <c r="K897" s="514">
        <v>5584.08</v>
      </c>
      <c r="L897" s="514">
        <v>5584.08</v>
      </c>
      <c r="M897" s="514">
        <v>5584.08</v>
      </c>
      <c r="N897" s="514">
        <v>5584.08</v>
      </c>
      <c r="O897" s="499"/>
      <c r="P897" s="499"/>
      <c r="Q897" s="499"/>
    </row>
    <row r="898" spans="1:17" ht="14.4" x14ac:dyDescent="0.3">
      <c r="A898" s="502">
        <v>1900406</v>
      </c>
      <c r="B898" s="503" t="s">
        <v>2695</v>
      </c>
      <c r="C898" s="514">
        <v>0.2</v>
      </c>
      <c r="D898" s="514">
        <v>0.2</v>
      </c>
      <c r="E898" s="514">
        <v>0.2</v>
      </c>
      <c r="F898" s="514">
        <v>0.2</v>
      </c>
      <c r="G898" s="514">
        <v>0.2</v>
      </c>
      <c r="H898" s="514">
        <v>0.2</v>
      </c>
      <c r="I898" s="514">
        <v>0.2</v>
      </c>
      <c r="J898" s="514">
        <v>0.2</v>
      </c>
      <c r="K898" s="514">
        <v>0.2</v>
      </c>
      <c r="L898" s="514">
        <v>0.2</v>
      </c>
      <c r="M898" s="514">
        <v>0.2</v>
      </c>
      <c r="N898" s="514">
        <v>0.2</v>
      </c>
      <c r="O898" s="499"/>
      <c r="P898" s="499"/>
      <c r="Q898" s="499"/>
    </row>
    <row r="899" spans="1:17" ht="14.4" x14ac:dyDescent="0.3">
      <c r="A899" s="502">
        <v>1900407</v>
      </c>
      <c r="B899" s="503" t="s">
        <v>2696</v>
      </c>
      <c r="C899" s="514">
        <v>81521.119999999995</v>
      </c>
      <c r="D899" s="514">
        <v>81072.81</v>
      </c>
      <c r="E899" s="514">
        <v>80624.509999999995</v>
      </c>
      <c r="F899" s="514">
        <v>80176.2</v>
      </c>
      <c r="G899" s="514">
        <v>79727.899999999994</v>
      </c>
      <c r="H899" s="514">
        <v>79279.59</v>
      </c>
      <c r="I899" s="514">
        <v>78831.289999999994</v>
      </c>
      <c r="J899" s="514">
        <v>78382.98</v>
      </c>
      <c r="K899" s="514">
        <v>77934.679999999993</v>
      </c>
      <c r="L899" s="514">
        <v>77486.37</v>
      </c>
      <c r="M899" s="514">
        <v>77038.070000000007</v>
      </c>
      <c r="N899" s="514">
        <v>76589.759999999995</v>
      </c>
      <c r="O899" s="499"/>
      <c r="P899" s="499"/>
      <c r="Q899" s="499"/>
    </row>
    <row r="900" spans="1:17" ht="14.4" x14ac:dyDescent="0.3">
      <c r="A900" s="502">
        <v>1900408</v>
      </c>
      <c r="B900" s="503" t="s">
        <v>2697</v>
      </c>
      <c r="C900" s="514">
        <v>13037008.5</v>
      </c>
      <c r="D900" s="514">
        <v>13037008.5</v>
      </c>
      <c r="E900" s="514">
        <v>13037008.5</v>
      </c>
      <c r="F900" s="514">
        <v>13037008.5</v>
      </c>
      <c r="G900" s="514">
        <v>13037008.5</v>
      </c>
      <c r="H900" s="514">
        <v>13037008.5</v>
      </c>
      <c r="I900" s="514">
        <v>13037008.5</v>
      </c>
      <c r="J900" s="514">
        <v>13037008.5</v>
      </c>
      <c r="K900" s="514">
        <v>13037008.5</v>
      </c>
      <c r="L900" s="514">
        <v>13037008.5</v>
      </c>
      <c r="M900" s="514">
        <v>13037008.5</v>
      </c>
      <c r="N900" s="514">
        <v>13037008.5</v>
      </c>
      <c r="O900" s="499"/>
      <c r="P900" s="499"/>
      <c r="Q900" s="499"/>
    </row>
    <row r="901" spans="1:17" ht="14.4" x14ac:dyDescent="0.3">
      <c r="A901" s="502">
        <v>1900409</v>
      </c>
      <c r="B901" s="503" t="s">
        <v>2698</v>
      </c>
      <c r="C901" s="514">
        <v>0</v>
      </c>
      <c r="D901" s="514">
        <v>0</v>
      </c>
      <c r="E901" s="514">
        <v>0</v>
      </c>
      <c r="F901" s="514">
        <v>0</v>
      </c>
      <c r="G901" s="514">
        <v>0</v>
      </c>
      <c r="H901" s="514">
        <v>0</v>
      </c>
      <c r="I901" s="514">
        <v>0</v>
      </c>
      <c r="J901" s="514">
        <v>0</v>
      </c>
      <c r="K901" s="514">
        <v>0</v>
      </c>
      <c r="L901" s="514">
        <v>0</v>
      </c>
      <c r="M901" s="514">
        <v>0</v>
      </c>
      <c r="N901" s="514">
        <v>0</v>
      </c>
      <c r="O901" s="499"/>
      <c r="P901" s="499"/>
      <c r="Q901" s="499"/>
    </row>
    <row r="902" spans="1:17" ht="14.4" x14ac:dyDescent="0.3">
      <c r="A902" s="502">
        <v>1900410</v>
      </c>
      <c r="B902" s="503" t="s">
        <v>2699</v>
      </c>
      <c r="C902" s="514">
        <v>0</v>
      </c>
      <c r="D902" s="514">
        <v>0</v>
      </c>
      <c r="E902" s="514">
        <v>0</v>
      </c>
      <c r="F902" s="514">
        <v>0</v>
      </c>
      <c r="G902" s="514">
        <v>0</v>
      </c>
      <c r="H902" s="514">
        <v>0</v>
      </c>
      <c r="I902" s="514">
        <v>0</v>
      </c>
      <c r="J902" s="514">
        <v>0</v>
      </c>
      <c r="K902" s="514">
        <v>0</v>
      </c>
      <c r="L902" s="514">
        <v>0</v>
      </c>
      <c r="M902" s="514">
        <v>0</v>
      </c>
      <c r="N902" s="514">
        <v>0</v>
      </c>
      <c r="O902" s="499"/>
      <c r="P902" s="499"/>
      <c r="Q902" s="499"/>
    </row>
    <row r="903" spans="1:17" ht="14.4" x14ac:dyDescent="0.3">
      <c r="A903" s="502">
        <v>1900600</v>
      </c>
      <c r="B903" s="503" t="s">
        <v>2700</v>
      </c>
      <c r="C903" s="514">
        <v>0</v>
      </c>
      <c r="D903" s="514">
        <v>0</v>
      </c>
      <c r="E903" s="514">
        <v>0</v>
      </c>
      <c r="F903" s="514">
        <v>0</v>
      </c>
      <c r="G903" s="514">
        <v>0</v>
      </c>
      <c r="H903" s="514">
        <v>0</v>
      </c>
      <c r="I903" s="514">
        <v>0</v>
      </c>
      <c r="J903" s="514">
        <v>0</v>
      </c>
      <c r="K903" s="514">
        <v>0</v>
      </c>
      <c r="L903" s="514">
        <v>0</v>
      </c>
      <c r="M903" s="514">
        <v>0</v>
      </c>
      <c r="N903" s="514">
        <v>0</v>
      </c>
      <c r="O903" s="499"/>
      <c r="P903" s="499"/>
      <c r="Q903" s="499"/>
    </row>
    <row r="904" spans="1:17" ht="14.4" x14ac:dyDescent="0.3">
      <c r="A904" s="502">
        <v>1900610</v>
      </c>
      <c r="B904" s="503" t="s">
        <v>2701</v>
      </c>
      <c r="C904" s="514">
        <v>65733063.409999996</v>
      </c>
      <c r="D904" s="514">
        <v>69807794.909999996</v>
      </c>
      <c r="E904" s="514">
        <v>69607505.349999994</v>
      </c>
      <c r="F904" s="514">
        <v>76613301.590000004</v>
      </c>
      <c r="G904" s="514">
        <v>76413012</v>
      </c>
      <c r="H904" s="514">
        <v>76212722.439999998</v>
      </c>
      <c r="I904" s="514">
        <v>76012432.879999995</v>
      </c>
      <c r="J904" s="514">
        <v>75812143.319999993</v>
      </c>
      <c r="K904" s="514">
        <v>75611853.739999995</v>
      </c>
      <c r="L904" s="514">
        <v>75411564.159999996</v>
      </c>
      <c r="M904" s="514">
        <v>75211274.590000004</v>
      </c>
      <c r="N904" s="514">
        <v>75010985.040000007</v>
      </c>
      <c r="O904" s="499"/>
      <c r="P904" s="499"/>
      <c r="Q904" s="499"/>
    </row>
    <row r="905" spans="1:17" ht="14.4" x14ac:dyDescent="0.3">
      <c r="A905" s="502">
        <v>1910100</v>
      </c>
      <c r="B905" s="503" t="s">
        <v>2702</v>
      </c>
      <c r="C905" s="514">
        <v>0</v>
      </c>
      <c r="D905" s="514">
        <v>0</v>
      </c>
      <c r="E905" s="514">
        <v>0</v>
      </c>
      <c r="F905" s="514">
        <v>0</v>
      </c>
      <c r="G905" s="514">
        <v>0</v>
      </c>
      <c r="H905" s="514">
        <v>0</v>
      </c>
      <c r="I905" s="514">
        <v>0</v>
      </c>
      <c r="J905" s="514">
        <v>0</v>
      </c>
      <c r="K905" s="514">
        <v>0</v>
      </c>
      <c r="L905" s="514">
        <v>0</v>
      </c>
      <c r="M905" s="514">
        <v>0</v>
      </c>
      <c r="N905" s="514">
        <v>0</v>
      </c>
      <c r="O905" s="499"/>
      <c r="P905" s="499"/>
      <c r="Q905" s="499"/>
    </row>
    <row r="906" spans="1:17" ht="14.4" x14ac:dyDescent="0.3">
      <c r="A906" s="502">
        <v>1910110</v>
      </c>
      <c r="B906" s="503" t="s">
        <v>2703</v>
      </c>
      <c r="C906" s="514">
        <v>0</v>
      </c>
      <c r="D906" s="514">
        <v>0</v>
      </c>
      <c r="E906" s="514">
        <v>0</v>
      </c>
      <c r="F906" s="514">
        <v>0</v>
      </c>
      <c r="G906" s="514">
        <v>0</v>
      </c>
      <c r="H906" s="514">
        <v>0</v>
      </c>
      <c r="I906" s="514">
        <v>0</v>
      </c>
      <c r="J906" s="514">
        <v>0</v>
      </c>
      <c r="K906" s="514">
        <v>0</v>
      </c>
      <c r="L906" s="514">
        <v>0</v>
      </c>
      <c r="M906" s="514">
        <v>0</v>
      </c>
      <c r="N906" s="514">
        <v>0</v>
      </c>
      <c r="O906" s="499"/>
      <c r="P906" s="499"/>
      <c r="Q906" s="499"/>
    </row>
    <row r="907" spans="1:17" ht="14.4" x14ac:dyDescent="0.3">
      <c r="A907" s="502">
        <v>1910120</v>
      </c>
      <c r="B907" s="503" t="s">
        <v>2704</v>
      </c>
      <c r="C907" s="514">
        <v>0</v>
      </c>
      <c r="D907" s="514">
        <v>0</v>
      </c>
      <c r="E907" s="514">
        <v>0</v>
      </c>
      <c r="F907" s="514">
        <v>0</v>
      </c>
      <c r="G907" s="514">
        <v>0</v>
      </c>
      <c r="H907" s="514">
        <v>0</v>
      </c>
      <c r="I907" s="514">
        <v>0</v>
      </c>
      <c r="J907" s="514">
        <v>0</v>
      </c>
      <c r="K907" s="514">
        <v>0</v>
      </c>
      <c r="L907" s="514">
        <v>0</v>
      </c>
      <c r="M907" s="514">
        <v>0</v>
      </c>
      <c r="N907" s="514">
        <v>0</v>
      </c>
      <c r="O907" s="499"/>
      <c r="P907" s="499"/>
      <c r="Q907" s="499"/>
    </row>
    <row r="908" spans="1:17" ht="14.4" x14ac:dyDescent="0.3">
      <c r="A908" s="502">
        <v>1910130</v>
      </c>
      <c r="B908" s="503" t="s">
        <v>2705</v>
      </c>
      <c r="C908" s="514">
        <v>0</v>
      </c>
      <c r="D908" s="514">
        <v>0</v>
      </c>
      <c r="E908" s="514">
        <v>0</v>
      </c>
      <c r="F908" s="514">
        <v>0</v>
      </c>
      <c r="G908" s="514">
        <v>0</v>
      </c>
      <c r="H908" s="514">
        <v>0</v>
      </c>
      <c r="I908" s="514">
        <v>0</v>
      </c>
      <c r="J908" s="514">
        <v>0</v>
      </c>
      <c r="K908" s="514">
        <v>0</v>
      </c>
      <c r="L908" s="514">
        <v>0</v>
      </c>
      <c r="M908" s="514">
        <v>0</v>
      </c>
      <c r="N908" s="514">
        <v>0</v>
      </c>
      <c r="O908" s="499"/>
      <c r="P908" s="499"/>
      <c r="Q908" s="499"/>
    </row>
    <row r="909" spans="1:17" ht="14.4" x14ac:dyDescent="0.3">
      <c r="A909" s="502">
        <v>1910160</v>
      </c>
      <c r="B909" s="503" t="s">
        <v>2706</v>
      </c>
      <c r="C909" s="514">
        <v>0</v>
      </c>
      <c r="D909" s="514">
        <v>0</v>
      </c>
      <c r="E909" s="514">
        <v>0</v>
      </c>
      <c r="F909" s="514">
        <v>0</v>
      </c>
      <c r="G909" s="514">
        <v>0</v>
      </c>
      <c r="H909" s="514">
        <v>0</v>
      </c>
      <c r="I909" s="514">
        <v>0</v>
      </c>
      <c r="J909" s="514">
        <v>0</v>
      </c>
      <c r="K909" s="514">
        <v>0</v>
      </c>
      <c r="L909" s="514">
        <v>0</v>
      </c>
      <c r="M909" s="514">
        <v>0</v>
      </c>
      <c r="N909" s="514">
        <v>0</v>
      </c>
      <c r="O909" s="499"/>
      <c r="P909" s="499"/>
      <c r="Q909" s="499"/>
    </row>
    <row r="910" spans="1:17" ht="14.4" x14ac:dyDescent="0.3">
      <c r="A910" s="502">
        <v>1910165</v>
      </c>
      <c r="B910" s="503" t="s">
        <v>2707</v>
      </c>
      <c r="C910" s="514">
        <v>0</v>
      </c>
      <c r="D910" s="514">
        <v>0</v>
      </c>
      <c r="E910" s="514">
        <v>0</v>
      </c>
      <c r="F910" s="514">
        <v>0</v>
      </c>
      <c r="G910" s="514">
        <v>0</v>
      </c>
      <c r="H910" s="514">
        <v>0</v>
      </c>
      <c r="I910" s="514">
        <v>0</v>
      </c>
      <c r="J910" s="514">
        <v>0</v>
      </c>
      <c r="K910" s="514">
        <v>0</v>
      </c>
      <c r="L910" s="514">
        <v>0</v>
      </c>
      <c r="M910" s="514">
        <v>0</v>
      </c>
      <c r="N910" s="514">
        <v>0</v>
      </c>
      <c r="O910" s="499"/>
      <c r="P910" s="499"/>
      <c r="Q910" s="499"/>
    </row>
    <row r="911" spans="1:17" ht="14.4" x14ac:dyDescent="0.3">
      <c r="A911" s="502">
        <v>1910200</v>
      </c>
      <c r="B911" s="503" t="s">
        <v>2708</v>
      </c>
      <c r="C911" s="514">
        <v>0</v>
      </c>
      <c r="D911" s="514">
        <v>0</v>
      </c>
      <c r="E911" s="514">
        <v>0</v>
      </c>
      <c r="F911" s="514">
        <v>0</v>
      </c>
      <c r="G911" s="514">
        <v>0</v>
      </c>
      <c r="H911" s="514">
        <v>0</v>
      </c>
      <c r="I911" s="514">
        <v>0</v>
      </c>
      <c r="J911" s="514">
        <v>0</v>
      </c>
      <c r="K911" s="514">
        <v>0</v>
      </c>
      <c r="L911" s="514">
        <v>0</v>
      </c>
      <c r="M911" s="514">
        <v>0</v>
      </c>
      <c r="N911" s="514">
        <v>0</v>
      </c>
      <c r="O911" s="499"/>
      <c r="P911" s="499"/>
      <c r="Q911" s="499"/>
    </row>
    <row r="912" spans="1:17" ht="14.4" x14ac:dyDescent="0.3">
      <c r="A912" s="502">
        <v>1910210</v>
      </c>
      <c r="B912" s="503" t="s">
        <v>2709</v>
      </c>
      <c r="C912" s="514">
        <v>0</v>
      </c>
      <c r="D912" s="514">
        <v>0</v>
      </c>
      <c r="E912" s="514">
        <v>0</v>
      </c>
      <c r="F912" s="514">
        <v>0</v>
      </c>
      <c r="G912" s="514">
        <v>0</v>
      </c>
      <c r="H912" s="514">
        <v>0</v>
      </c>
      <c r="I912" s="514">
        <v>0</v>
      </c>
      <c r="J912" s="514">
        <v>0</v>
      </c>
      <c r="K912" s="514">
        <v>0</v>
      </c>
      <c r="L912" s="514">
        <v>0</v>
      </c>
      <c r="M912" s="514">
        <v>0</v>
      </c>
      <c r="N912" s="514">
        <v>0</v>
      </c>
      <c r="O912" s="499"/>
      <c r="P912" s="499"/>
      <c r="Q912" s="499"/>
    </row>
    <row r="913" spans="1:17" ht="14.4" x14ac:dyDescent="0.3">
      <c r="A913" s="502">
        <v>1910220</v>
      </c>
      <c r="B913" s="503" t="s">
        <v>2710</v>
      </c>
      <c r="C913" s="514">
        <v>0</v>
      </c>
      <c r="D913" s="514">
        <v>0</v>
      </c>
      <c r="E913" s="514">
        <v>0</v>
      </c>
      <c r="F913" s="514">
        <v>0</v>
      </c>
      <c r="G913" s="514">
        <v>0</v>
      </c>
      <c r="H913" s="514">
        <v>0</v>
      </c>
      <c r="I913" s="514">
        <v>0</v>
      </c>
      <c r="J913" s="514">
        <v>0</v>
      </c>
      <c r="K913" s="514">
        <v>0</v>
      </c>
      <c r="L913" s="514">
        <v>0</v>
      </c>
      <c r="M913" s="514">
        <v>0</v>
      </c>
      <c r="N913" s="514">
        <v>0</v>
      </c>
      <c r="O913" s="499"/>
      <c r="P913" s="499"/>
      <c r="Q913" s="499"/>
    </row>
    <row r="914" spans="1:17" ht="14.4" x14ac:dyDescent="0.3">
      <c r="A914" s="502">
        <v>1910230</v>
      </c>
      <c r="B914" s="503" t="s">
        <v>2711</v>
      </c>
      <c r="C914" s="514">
        <v>0</v>
      </c>
      <c r="D914" s="514">
        <v>0</v>
      </c>
      <c r="E914" s="514">
        <v>0</v>
      </c>
      <c r="F914" s="514">
        <v>0</v>
      </c>
      <c r="G914" s="514">
        <v>0</v>
      </c>
      <c r="H914" s="514">
        <v>0</v>
      </c>
      <c r="I914" s="514">
        <v>0</v>
      </c>
      <c r="J914" s="514">
        <v>0</v>
      </c>
      <c r="K914" s="514">
        <v>0</v>
      </c>
      <c r="L914" s="514">
        <v>0</v>
      </c>
      <c r="M914" s="514">
        <v>0</v>
      </c>
      <c r="N914" s="514">
        <v>0</v>
      </c>
      <c r="O914" s="499"/>
      <c r="P914" s="499"/>
      <c r="Q914" s="499"/>
    </row>
    <row r="915" spans="1:17" ht="14.4" x14ac:dyDescent="0.3">
      <c r="A915" s="502">
        <v>1990900</v>
      </c>
      <c r="B915" s="503" t="s">
        <v>2077</v>
      </c>
      <c r="C915" s="514">
        <v>0</v>
      </c>
      <c r="D915" s="514">
        <v>0</v>
      </c>
      <c r="E915" s="514">
        <v>0</v>
      </c>
      <c r="F915" s="514">
        <v>0</v>
      </c>
      <c r="G915" s="514">
        <v>0</v>
      </c>
      <c r="H915" s="514">
        <v>0</v>
      </c>
      <c r="I915" s="514">
        <v>0</v>
      </c>
      <c r="J915" s="514">
        <v>0</v>
      </c>
      <c r="K915" s="514">
        <v>0</v>
      </c>
      <c r="L915" s="514">
        <v>0</v>
      </c>
      <c r="M915" s="514">
        <v>0</v>
      </c>
      <c r="N915" s="514">
        <v>0</v>
      </c>
      <c r="O915" s="499"/>
      <c r="P915" s="499"/>
      <c r="Q915" s="499"/>
    </row>
    <row r="916" spans="1:17" ht="14.4" x14ac:dyDescent="0.3">
      <c r="A916" s="502">
        <v>1990910</v>
      </c>
      <c r="B916" s="503" t="s">
        <v>2077</v>
      </c>
      <c r="C916" s="514">
        <v>0</v>
      </c>
      <c r="D916" s="514">
        <v>0</v>
      </c>
      <c r="E916" s="514">
        <v>0</v>
      </c>
      <c r="F916" s="514">
        <v>0</v>
      </c>
      <c r="G916" s="514">
        <v>0</v>
      </c>
      <c r="H916" s="514">
        <v>0</v>
      </c>
      <c r="I916" s="514">
        <v>0</v>
      </c>
      <c r="J916" s="514">
        <v>0</v>
      </c>
      <c r="K916" s="514">
        <v>0</v>
      </c>
      <c r="L916" s="514">
        <v>0</v>
      </c>
      <c r="M916" s="514">
        <v>0</v>
      </c>
      <c r="N916" s="514">
        <v>0</v>
      </c>
      <c r="O916" s="499"/>
      <c r="P916" s="499"/>
      <c r="Q916" s="499"/>
    </row>
    <row r="917" spans="1:17" ht="14.4" x14ac:dyDescent="0.3">
      <c r="A917" s="502">
        <v>1990920</v>
      </c>
      <c r="B917" s="503" t="s">
        <v>2712</v>
      </c>
      <c r="C917" s="514">
        <v>0</v>
      </c>
      <c r="D917" s="514">
        <v>0</v>
      </c>
      <c r="E917" s="514">
        <v>0</v>
      </c>
      <c r="F917" s="514">
        <v>0</v>
      </c>
      <c r="G917" s="514">
        <v>0</v>
      </c>
      <c r="H917" s="514">
        <v>0</v>
      </c>
      <c r="I917" s="514">
        <v>0</v>
      </c>
      <c r="J917" s="514">
        <v>0</v>
      </c>
      <c r="K917" s="514">
        <v>0</v>
      </c>
      <c r="L917" s="514">
        <v>0</v>
      </c>
      <c r="M917" s="514">
        <v>0</v>
      </c>
      <c r="N917" s="514">
        <v>0</v>
      </c>
      <c r="O917" s="499"/>
      <c r="P917" s="499"/>
      <c r="Q917" s="499"/>
    </row>
    <row r="918" spans="1:17" ht="14.4" x14ac:dyDescent="0.3">
      <c r="A918" s="502">
        <v>2010000</v>
      </c>
      <c r="B918" s="503" t="s">
        <v>2713</v>
      </c>
      <c r="C918" s="514">
        <v>119696800</v>
      </c>
      <c r="D918" s="514">
        <v>119696800</v>
      </c>
      <c r="E918" s="514">
        <v>119696800</v>
      </c>
      <c r="F918" s="514">
        <v>119696800</v>
      </c>
      <c r="G918" s="514">
        <v>119696800</v>
      </c>
      <c r="H918" s="514">
        <v>119696800</v>
      </c>
      <c r="I918" s="514">
        <v>119696800</v>
      </c>
      <c r="J918" s="514">
        <v>119696800</v>
      </c>
      <c r="K918" s="514">
        <v>119696800</v>
      </c>
      <c r="L918" s="514">
        <v>119696800</v>
      </c>
      <c r="M918" s="514">
        <v>119696800</v>
      </c>
      <c r="N918" s="514">
        <v>119696800</v>
      </c>
      <c r="O918" s="499"/>
      <c r="P918" s="499"/>
      <c r="Q918" s="499"/>
    </row>
    <row r="919" spans="1:17" ht="14.4" x14ac:dyDescent="0.3">
      <c r="A919" s="502">
        <v>2010010</v>
      </c>
      <c r="B919" s="503" t="s">
        <v>2714</v>
      </c>
      <c r="C919" s="514">
        <v>0</v>
      </c>
      <c r="D919" s="514">
        <v>0</v>
      </c>
      <c r="E919" s="514">
        <v>0</v>
      </c>
      <c r="F919" s="514">
        <v>0</v>
      </c>
      <c r="G919" s="514">
        <v>0</v>
      </c>
      <c r="H919" s="514">
        <v>0</v>
      </c>
      <c r="I919" s="514">
        <v>0</v>
      </c>
      <c r="J919" s="514">
        <v>0</v>
      </c>
      <c r="K919" s="514">
        <v>0</v>
      </c>
      <c r="L919" s="514">
        <v>0</v>
      </c>
      <c r="M919" s="514">
        <v>0</v>
      </c>
      <c r="N919" s="514">
        <v>0</v>
      </c>
      <c r="O919" s="499"/>
      <c r="P919" s="499"/>
      <c r="Q919" s="499"/>
    </row>
    <row r="920" spans="1:17" ht="14.4" x14ac:dyDescent="0.3">
      <c r="A920" s="502">
        <v>2010020</v>
      </c>
      <c r="B920" s="503" t="s">
        <v>2715</v>
      </c>
      <c r="C920" s="514">
        <v>0</v>
      </c>
      <c r="D920" s="514">
        <v>0</v>
      </c>
      <c r="E920" s="514">
        <v>0</v>
      </c>
      <c r="F920" s="514">
        <v>0</v>
      </c>
      <c r="G920" s="514">
        <v>0</v>
      </c>
      <c r="H920" s="514">
        <v>0</v>
      </c>
      <c r="I920" s="514">
        <v>0</v>
      </c>
      <c r="J920" s="514">
        <v>0</v>
      </c>
      <c r="K920" s="514">
        <v>0</v>
      </c>
      <c r="L920" s="514">
        <v>0</v>
      </c>
      <c r="M920" s="514">
        <v>0</v>
      </c>
      <c r="N920" s="514">
        <v>0</v>
      </c>
      <c r="O920" s="499"/>
      <c r="P920" s="499"/>
      <c r="Q920" s="499"/>
    </row>
    <row r="921" spans="1:17" ht="14.4" x14ac:dyDescent="0.3">
      <c r="A921" s="502">
        <v>2010030</v>
      </c>
      <c r="B921" s="503" t="s">
        <v>2716</v>
      </c>
      <c r="C921" s="514">
        <v>0</v>
      </c>
      <c r="D921" s="514">
        <v>0</v>
      </c>
      <c r="E921" s="514">
        <v>0</v>
      </c>
      <c r="F921" s="514">
        <v>0</v>
      </c>
      <c r="G921" s="514">
        <v>0</v>
      </c>
      <c r="H921" s="514">
        <v>0</v>
      </c>
      <c r="I921" s="514">
        <v>0</v>
      </c>
      <c r="J921" s="514">
        <v>0</v>
      </c>
      <c r="K921" s="514">
        <v>0</v>
      </c>
      <c r="L921" s="514">
        <v>0</v>
      </c>
      <c r="M921" s="514">
        <v>0</v>
      </c>
      <c r="N921" s="514">
        <v>0</v>
      </c>
      <c r="O921" s="499"/>
      <c r="P921" s="499"/>
      <c r="Q921" s="499"/>
    </row>
    <row r="922" spans="1:17" ht="14.4" x14ac:dyDescent="0.3">
      <c r="A922" s="502">
        <v>2010700</v>
      </c>
      <c r="B922" s="503" t="s">
        <v>2717</v>
      </c>
      <c r="C922" s="514">
        <v>0</v>
      </c>
      <c r="D922" s="514">
        <v>0</v>
      </c>
      <c r="E922" s="514">
        <v>0</v>
      </c>
      <c r="F922" s="514">
        <v>0</v>
      </c>
      <c r="G922" s="514">
        <v>0</v>
      </c>
      <c r="H922" s="514">
        <v>0</v>
      </c>
      <c r="I922" s="514">
        <v>0</v>
      </c>
      <c r="J922" s="514">
        <v>0</v>
      </c>
      <c r="K922" s="514">
        <v>0</v>
      </c>
      <c r="L922" s="514">
        <v>0</v>
      </c>
      <c r="M922" s="514">
        <v>0</v>
      </c>
      <c r="N922" s="514">
        <v>0</v>
      </c>
      <c r="O922" s="499"/>
      <c r="P922" s="499"/>
      <c r="Q922" s="499"/>
    </row>
    <row r="923" spans="1:17" ht="14.4" x14ac:dyDescent="0.3">
      <c r="A923" s="502">
        <v>2070000</v>
      </c>
      <c r="B923" s="503" t="s">
        <v>2718</v>
      </c>
      <c r="C923" s="514">
        <v>0</v>
      </c>
      <c r="D923" s="514">
        <v>0</v>
      </c>
      <c r="E923" s="514">
        <v>0</v>
      </c>
      <c r="F923" s="514">
        <v>0</v>
      </c>
      <c r="G923" s="514">
        <v>0</v>
      </c>
      <c r="H923" s="514">
        <v>0</v>
      </c>
      <c r="I923" s="514">
        <v>0</v>
      </c>
      <c r="J923" s="514">
        <v>0</v>
      </c>
      <c r="K923" s="514">
        <v>0</v>
      </c>
      <c r="L923" s="514">
        <v>0</v>
      </c>
      <c r="M923" s="514">
        <v>0</v>
      </c>
      <c r="N923" s="514">
        <v>0</v>
      </c>
      <c r="O923" s="499"/>
      <c r="P923" s="499"/>
      <c r="Q923" s="499"/>
    </row>
    <row r="924" spans="1:17" ht="14.4" x14ac:dyDescent="0.3">
      <c r="A924" s="502">
        <v>2110000</v>
      </c>
      <c r="B924" s="503" t="s">
        <v>2719</v>
      </c>
      <c r="C924" s="514">
        <v>4985840200</v>
      </c>
      <c r="D924" s="514">
        <v>5135840200</v>
      </c>
      <c r="E924" s="514">
        <v>5135840200</v>
      </c>
      <c r="F924" s="514">
        <v>5135840200</v>
      </c>
      <c r="G924" s="514">
        <v>5285840200</v>
      </c>
      <c r="H924" s="514">
        <v>5285840200</v>
      </c>
      <c r="I924" s="514">
        <v>5285840200</v>
      </c>
      <c r="J924" s="514">
        <v>5435840200</v>
      </c>
      <c r="K924" s="514">
        <v>5435840200</v>
      </c>
      <c r="L924" s="514">
        <v>5435840200</v>
      </c>
      <c r="M924" s="514">
        <v>5585840200</v>
      </c>
      <c r="N924" s="514">
        <v>5585840200</v>
      </c>
      <c r="O924" s="499"/>
      <c r="P924" s="499"/>
      <c r="Q924" s="499"/>
    </row>
    <row r="925" spans="1:17" ht="14.4" x14ac:dyDescent="0.3">
      <c r="A925" s="502">
        <v>2140000</v>
      </c>
      <c r="B925" s="503" t="s">
        <v>2720</v>
      </c>
      <c r="C925" s="514">
        <v>700900</v>
      </c>
      <c r="D925" s="514">
        <v>700900</v>
      </c>
      <c r="E925" s="514">
        <v>700900</v>
      </c>
      <c r="F925" s="514">
        <v>700900</v>
      </c>
      <c r="G925" s="514">
        <v>700900</v>
      </c>
      <c r="H925" s="514">
        <v>700900</v>
      </c>
      <c r="I925" s="514">
        <v>700900</v>
      </c>
      <c r="J925" s="514">
        <v>700900</v>
      </c>
      <c r="K925" s="514">
        <v>700900</v>
      </c>
      <c r="L925" s="514">
        <v>700900</v>
      </c>
      <c r="M925" s="514">
        <v>700900</v>
      </c>
      <c r="N925" s="514">
        <v>700900</v>
      </c>
      <c r="O925" s="499"/>
      <c r="P925" s="499"/>
      <c r="Q925" s="499"/>
    </row>
    <row r="926" spans="1:17" ht="14.4" x14ac:dyDescent="0.3">
      <c r="A926" s="502">
        <v>2140010</v>
      </c>
      <c r="B926" s="503" t="s">
        <v>2077</v>
      </c>
      <c r="C926" s="514">
        <v>0</v>
      </c>
      <c r="D926" s="514">
        <v>0</v>
      </c>
      <c r="E926" s="514">
        <v>0</v>
      </c>
      <c r="F926" s="514">
        <v>0</v>
      </c>
      <c r="G926" s="514">
        <v>0</v>
      </c>
      <c r="H926" s="514">
        <v>0</v>
      </c>
      <c r="I926" s="514">
        <v>0</v>
      </c>
      <c r="J926" s="514">
        <v>0</v>
      </c>
      <c r="K926" s="514">
        <v>0</v>
      </c>
      <c r="L926" s="514">
        <v>0</v>
      </c>
      <c r="M926" s="514">
        <v>0</v>
      </c>
      <c r="N926" s="514">
        <v>0</v>
      </c>
      <c r="O926" s="499"/>
      <c r="P926" s="499"/>
      <c r="Q926" s="499"/>
    </row>
    <row r="927" spans="1:17" ht="14.4" x14ac:dyDescent="0.3">
      <c r="A927" s="502">
        <v>2140020</v>
      </c>
      <c r="B927" s="503" t="s">
        <v>2077</v>
      </c>
      <c r="C927" s="514">
        <v>0</v>
      </c>
      <c r="D927" s="514">
        <v>0</v>
      </c>
      <c r="E927" s="514">
        <v>0</v>
      </c>
      <c r="F927" s="514">
        <v>0</v>
      </c>
      <c r="G927" s="514">
        <v>0</v>
      </c>
      <c r="H927" s="514">
        <v>0</v>
      </c>
      <c r="I927" s="514">
        <v>0</v>
      </c>
      <c r="J927" s="514">
        <v>0</v>
      </c>
      <c r="K927" s="514">
        <v>0</v>
      </c>
      <c r="L927" s="514">
        <v>0</v>
      </c>
      <c r="M927" s="514">
        <v>0</v>
      </c>
      <c r="N927" s="514">
        <v>0</v>
      </c>
      <c r="O927" s="499"/>
      <c r="P927" s="499"/>
      <c r="Q927" s="499"/>
    </row>
    <row r="928" spans="1:17" ht="14.4" x14ac:dyDescent="0.3">
      <c r="A928" s="502">
        <v>2140030</v>
      </c>
      <c r="B928" s="503" t="s">
        <v>2077</v>
      </c>
      <c r="C928" s="514">
        <v>0</v>
      </c>
      <c r="D928" s="514">
        <v>0</v>
      </c>
      <c r="E928" s="514">
        <v>0</v>
      </c>
      <c r="F928" s="514">
        <v>0</v>
      </c>
      <c r="G928" s="514">
        <v>0</v>
      </c>
      <c r="H928" s="514">
        <v>0</v>
      </c>
      <c r="I928" s="514">
        <v>0</v>
      </c>
      <c r="J928" s="514">
        <v>0</v>
      </c>
      <c r="K928" s="514">
        <v>0</v>
      </c>
      <c r="L928" s="514">
        <v>0</v>
      </c>
      <c r="M928" s="514">
        <v>0</v>
      </c>
      <c r="N928" s="514">
        <v>0</v>
      </c>
      <c r="O928" s="499"/>
      <c r="P928" s="499"/>
      <c r="Q928" s="499"/>
    </row>
    <row r="929" spans="1:17" ht="14.4" x14ac:dyDescent="0.3">
      <c r="A929" s="502">
        <v>2140040</v>
      </c>
      <c r="B929" s="503" t="s">
        <v>2077</v>
      </c>
      <c r="C929" s="514">
        <v>0</v>
      </c>
      <c r="D929" s="514">
        <v>0</v>
      </c>
      <c r="E929" s="514">
        <v>0</v>
      </c>
      <c r="F929" s="514">
        <v>0</v>
      </c>
      <c r="G929" s="514">
        <v>0</v>
      </c>
      <c r="H929" s="514">
        <v>0</v>
      </c>
      <c r="I929" s="514">
        <v>0</v>
      </c>
      <c r="J929" s="514">
        <v>0</v>
      </c>
      <c r="K929" s="514">
        <v>0</v>
      </c>
      <c r="L929" s="514">
        <v>0</v>
      </c>
      <c r="M929" s="514">
        <v>0</v>
      </c>
      <c r="N929" s="514">
        <v>0</v>
      </c>
      <c r="O929" s="499"/>
      <c r="P929" s="499"/>
      <c r="Q929" s="499"/>
    </row>
    <row r="930" spans="1:17" ht="14.4" x14ac:dyDescent="0.3">
      <c r="A930" s="502">
        <v>2140050</v>
      </c>
      <c r="B930" s="503" t="s">
        <v>2077</v>
      </c>
      <c r="C930" s="514">
        <v>0</v>
      </c>
      <c r="D930" s="514">
        <v>0</v>
      </c>
      <c r="E930" s="514">
        <v>0</v>
      </c>
      <c r="F930" s="514">
        <v>0</v>
      </c>
      <c r="G930" s="514">
        <v>0</v>
      </c>
      <c r="H930" s="514">
        <v>0</v>
      </c>
      <c r="I930" s="514">
        <v>0</v>
      </c>
      <c r="J930" s="514">
        <v>0</v>
      </c>
      <c r="K930" s="514">
        <v>0</v>
      </c>
      <c r="L930" s="514">
        <v>0</v>
      </c>
      <c r="M930" s="514">
        <v>0</v>
      </c>
      <c r="N930" s="514">
        <v>0</v>
      </c>
      <c r="O930" s="499"/>
      <c r="P930" s="499"/>
      <c r="Q930" s="499"/>
    </row>
    <row r="931" spans="1:17" ht="14.4" x14ac:dyDescent="0.3">
      <c r="A931" s="502">
        <v>2150000</v>
      </c>
      <c r="B931" s="503" t="s">
        <v>2721</v>
      </c>
      <c r="C931" s="514">
        <v>0</v>
      </c>
      <c r="D931" s="514">
        <v>0</v>
      </c>
      <c r="E931" s="514">
        <v>0</v>
      </c>
      <c r="F931" s="514">
        <v>0</v>
      </c>
      <c r="G931" s="514">
        <v>0</v>
      </c>
      <c r="H931" s="514">
        <v>0</v>
      </c>
      <c r="I931" s="514">
        <v>0</v>
      </c>
      <c r="J931" s="514">
        <v>0</v>
      </c>
      <c r="K931" s="514">
        <v>0</v>
      </c>
      <c r="L931" s="514">
        <v>0</v>
      </c>
      <c r="M931" s="514">
        <v>0</v>
      </c>
      <c r="N931" s="514">
        <v>0</v>
      </c>
      <c r="O931" s="499"/>
      <c r="P931" s="499"/>
      <c r="Q931" s="499"/>
    </row>
    <row r="932" spans="1:17" ht="14.4" x14ac:dyDescent="0.3">
      <c r="A932" s="502">
        <v>2151000</v>
      </c>
      <c r="B932" s="503" t="s">
        <v>2722</v>
      </c>
      <c r="C932" s="514">
        <v>0</v>
      </c>
      <c r="D932" s="514">
        <v>0</v>
      </c>
      <c r="E932" s="514">
        <v>0</v>
      </c>
      <c r="F932" s="514">
        <v>0</v>
      </c>
      <c r="G932" s="514">
        <v>0</v>
      </c>
      <c r="H932" s="514">
        <v>0</v>
      </c>
      <c r="I932" s="514">
        <v>0</v>
      </c>
      <c r="J932" s="514">
        <v>0</v>
      </c>
      <c r="K932" s="514">
        <v>0</v>
      </c>
      <c r="L932" s="514">
        <v>0</v>
      </c>
      <c r="M932" s="514">
        <v>0</v>
      </c>
      <c r="N932" s="514">
        <v>0</v>
      </c>
      <c r="O932" s="499"/>
      <c r="P932" s="499"/>
      <c r="Q932" s="499"/>
    </row>
    <row r="933" spans="1:17" ht="14.4" x14ac:dyDescent="0.3">
      <c r="A933" s="502">
        <v>2160000</v>
      </c>
      <c r="B933" s="503" t="s">
        <v>2723</v>
      </c>
      <c r="C933" s="514">
        <v>253038364.31</v>
      </c>
      <c r="D933" s="514">
        <v>192489080.47999999</v>
      </c>
      <c r="E933" s="514">
        <v>215635868.25999999</v>
      </c>
      <c r="F933" s="514">
        <v>246431162.40000001</v>
      </c>
      <c r="G933" s="514">
        <v>208829243.91</v>
      </c>
      <c r="H933" s="514">
        <v>256835062.94999999</v>
      </c>
      <c r="I933" s="514">
        <v>312103372.85000002</v>
      </c>
      <c r="J933" s="514">
        <v>245740438.06</v>
      </c>
      <c r="K933" s="514">
        <v>296142994.89999998</v>
      </c>
      <c r="L933" s="514">
        <v>331189097.51999998</v>
      </c>
      <c r="M933" s="514">
        <v>188318305.22999999</v>
      </c>
      <c r="N933" s="514">
        <v>202842316.08000001</v>
      </c>
      <c r="O933" s="499"/>
      <c r="P933" s="499"/>
      <c r="Q933" s="499"/>
    </row>
    <row r="934" spans="1:17" ht="14.4" x14ac:dyDescent="0.3">
      <c r="A934" s="502">
        <v>2160010</v>
      </c>
      <c r="B934" s="503" t="s">
        <v>2724</v>
      </c>
      <c r="C934" s="514">
        <v>0</v>
      </c>
      <c r="D934" s="514">
        <v>0</v>
      </c>
      <c r="E934" s="514">
        <v>0</v>
      </c>
      <c r="F934" s="514">
        <v>0</v>
      </c>
      <c r="G934" s="514">
        <v>0</v>
      </c>
      <c r="H934" s="514">
        <v>0</v>
      </c>
      <c r="I934" s="514">
        <v>0</v>
      </c>
      <c r="J934" s="514">
        <v>0</v>
      </c>
      <c r="K934" s="514">
        <v>0</v>
      </c>
      <c r="L934" s="514">
        <v>0</v>
      </c>
      <c r="M934" s="514">
        <v>0</v>
      </c>
      <c r="N934" s="514">
        <v>0</v>
      </c>
      <c r="O934" s="499"/>
      <c r="P934" s="499"/>
      <c r="Q934" s="499"/>
    </row>
    <row r="935" spans="1:17" ht="14.4" x14ac:dyDescent="0.3">
      <c r="A935" s="502">
        <v>2160020</v>
      </c>
      <c r="B935" s="503" t="s">
        <v>2725</v>
      </c>
      <c r="C935" s="514">
        <v>0</v>
      </c>
      <c r="D935" s="514">
        <v>0</v>
      </c>
      <c r="E935" s="514">
        <v>0</v>
      </c>
      <c r="F935" s="514">
        <v>0</v>
      </c>
      <c r="G935" s="514">
        <v>0</v>
      </c>
      <c r="H935" s="514">
        <v>0</v>
      </c>
      <c r="I935" s="514">
        <v>0</v>
      </c>
      <c r="J935" s="514">
        <v>0</v>
      </c>
      <c r="K935" s="514">
        <v>0</v>
      </c>
      <c r="L935" s="514">
        <v>0</v>
      </c>
      <c r="M935" s="514">
        <v>0</v>
      </c>
      <c r="N935" s="514">
        <v>0</v>
      </c>
      <c r="O935" s="499"/>
      <c r="P935" s="499"/>
      <c r="Q935" s="499"/>
    </row>
    <row r="936" spans="1:17" ht="14.4" x14ac:dyDescent="0.3">
      <c r="A936" s="502">
        <v>2160030</v>
      </c>
      <c r="B936" s="503" t="s">
        <v>2726</v>
      </c>
      <c r="C936" s="514">
        <v>0</v>
      </c>
      <c r="D936" s="514">
        <v>0</v>
      </c>
      <c r="E936" s="514">
        <v>0</v>
      </c>
      <c r="F936" s="514">
        <v>0</v>
      </c>
      <c r="G936" s="514">
        <v>0</v>
      </c>
      <c r="H936" s="514">
        <v>0</v>
      </c>
      <c r="I936" s="514">
        <v>0</v>
      </c>
      <c r="J936" s="514">
        <v>0</v>
      </c>
      <c r="K936" s="514">
        <v>0</v>
      </c>
      <c r="L936" s="514">
        <v>0</v>
      </c>
      <c r="M936" s="514">
        <v>0</v>
      </c>
      <c r="N936" s="514">
        <v>0</v>
      </c>
      <c r="O936" s="499"/>
      <c r="P936" s="499"/>
      <c r="Q936" s="499"/>
    </row>
    <row r="937" spans="1:17" ht="14.4" x14ac:dyDescent="0.3">
      <c r="A937" s="502">
        <v>2160040</v>
      </c>
      <c r="B937" s="503" t="s">
        <v>2727</v>
      </c>
      <c r="C937" s="514">
        <v>0</v>
      </c>
      <c r="D937" s="514">
        <v>0</v>
      </c>
      <c r="E937" s="514">
        <v>0</v>
      </c>
      <c r="F937" s="514">
        <v>0</v>
      </c>
      <c r="G937" s="514">
        <v>0</v>
      </c>
      <c r="H937" s="514">
        <v>0</v>
      </c>
      <c r="I937" s="514">
        <v>0</v>
      </c>
      <c r="J937" s="514">
        <v>0</v>
      </c>
      <c r="K937" s="514">
        <v>0</v>
      </c>
      <c r="L937" s="514">
        <v>0</v>
      </c>
      <c r="M937" s="514">
        <v>0</v>
      </c>
      <c r="N937" s="514">
        <v>0</v>
      </c>
      <c r="O937" s="499"/>
      <c r="P937" s="499"/>
      <c r="Q937" s="499"/>
    </row>
    <row r="938" spans="1:17" ht="14.4" x14ac:dyDescent="0.3">
      <c r="A938" s="502">
        <v>2160041</v>
      </c>
      <c r="B938" s="503" t="s">
        <v>2728</v>
      </c>
      <c r="C938" s="514">
        <v>0</v>
      </c>
      <c r="D938" s="514">
        <v>0</v>
      </c>
      <c r="E938" s="514">
        <v>0</v>
      </c>
      <c r="F938" s="514">
        <v>0</v>
      </c>
      <c r="G938" s="514">
        <v>0</v>
      </c>
      <c r="H938" s="514">
        <v>0</v>
      </c>
      <c r="I938" s="514">
        <v>0</v>
      </c>
      <c r="J938" s="514">
        <v>0</v>
      </c>
      <c r="K938" s="514">
        <v>0</v>
      </c>
      <c r="L938" s="514">
        <v>0</v>
      </c>
      <c r="M938" s="514">
        <v>0</v>
      </c>
      <c r="N938" s="514">
        <v>0</v>
      </c>
      <c r="O938" s="499"/>
      <c r="P938" s="499"/>
      <c r="Q938" s="499"/>
    </row>
    <row r="939" spans="1:17" ht="14.4" x14ac:dyDescent="0.3">
      <c r="A939" s="502">
        <v>2161000</v>
      </c>
      <c r="B939" s="503" t="s">
        <v>2729</v>
      </c>
      <c r="C939" s="514">
        <v>0</v>
      </c>
      <c r="D939" s="514">
        <v>0</v>
      </c>
      <c r="E939" s="514">
        <v>0</v>
      </c>
      <c r="F939" s="514">
        <v>0</v>
      </c>
      <c r="G939" s="514">
        <v>0</v>
      </c>
      <c r="H939" s="514">
        <v>0</v>
      </c>
      <c r="I939" s="514">
        <v>0</v>
      </c>
      <c r="J939" s="514">
        <v>0</v>
      </c>
      <c r="K939" s="514">
        <v>0</v>
      </c>
      <c r="L939" s="514">
        <v>0</v>
      </c>
      <c r="M939" s="514">
        <v>0</v>
      </c>
      <c r="N939" s="514">
        <v>0</v>
      </c>
      <c r="O939" s="499"/>
      <c r="P939" s="499"/>
      <c r="Q939" s="499"/>
    </row>
    <row r="940" spans="1:17" ht="14.4" x14ac:dyDescent="0.3">
      <c r="A940" s="502">
        <v>2180000</v>
      </c>
      <c r="B940" s="503" t="s">
        <v>2730</v>
      </c>
      <c r="C940" s="514">
        <v>0</v>
      </c>
      <c r="D940" s="514">
        <v>0</v>
      </c>
      <c r="E940" s="514">
        <v>0</v>
      </c>
      <c r="F940" s="514">
        <v>0</v>
      </c>
      <c r="G940" s="514">
        <v>0</v>
      </c>
      <c r="H940" s="514">
        <v>0</v>
      </c>
      <c r="I940" s="514">
        <v>0</v>
      </c>
      <c r="J940" s="514">
        <v>0</v>
      </c>
      <c r="K940" s="514">
        <v>0</v>
      </c>
      <c r="L940" s="514">
        <v>0</v>
      </c>
      <c r="M940" s="514">
        <v>0</v>
      </c>
      <c r="N940" s="514">
        <v>0</v>
      </c>
      <c r="O940" s="499"/>
      <c r="P940" s="499"/>
      <c r="Q940" s="499"/>
    </row>
    <row r="941" spans="1:17" ht="14.4" x14ac:dyDescent="0.3">
      <c r="A941" s="502">
        <v>2190000</v>
      </c>
      <c r="B941" s="503" t="s">
        <v>2731</v>
      </c>
      <c r="C941" s="514">
        <v>0</v>
      </c>
      <c r="D941" s="514">
        <v>0</v>
      </c>
      <c r="E941" s="514">
        <v>0</v>
      </c>
      <c r="F941" s="514">
        <v>0</v>
      </c>
      <c r="G941" s="514">
        <v>0</v>
      </c>
      <c r="H941" s="514">
        <v>0</v>
      </c>
      <c r="I941" s="514">
        <v>0</v>
      </c>
      <c r="J941" s="514">
        <v>0</v>
      </c>
      <c r="K941" s="514">
        <v>0</v>
      </c>
      <c r="L941" s="514">
        <v>0</v>
      </c>
      <c r="M941" s="514">
        <v>0</v>
      </c>
      <c r="N941" s="514">
        <v>0</v>
      </c>
      <c r="O941" s="499"/>
      <c r="P941" s="499"/>
      <c r="Q941" s="499"/>
    </row>
    <row r="942" spans="1:17" ht="14.4" x14ac:dyDescent="0.3">
      <c r="A942" s="502">
        <v>2190001</v>
      </c>
      <c r="B942" s="503" t="s">
        <v>2732</v>
      </c>
      <c r="C942" s="514">
        <v>0</v>
      </c>
      <c r="D942" s="514">
        <v>0</v>
      </c>
      <c r="E942" s="514">
        <v>0</v>
      </c>
      <c r="F942" s="514">
        <v>0</v>
      </c>
      <c r="G942" s="514">
        <v>0</v>
      </c>
      <c r="H942" s="514">
        <v>0</v>
      </c>
      <c r="I942" s="514">
        <v>0</v>
      </c>
      <c r="J942" s="514">
        <v>0</v>
      </c>
      <c r="K942" s="514">
        <v>0</v>
      </c>
      <c r="L942" s="514">
        <v>0</v>
      </c>
      <c r="M942" s="514">
        <v>0</v>
      </c>
      <c r="N942" s="514">
        <v>0</v>
      </c>
      <c r="O942" s="499"/>
      <c r="P942" s="499"/>
      <c r="Q942" s="499"/>
    </row>
    <row r="943" spans="1:17" ht="14.4" x14ac:dyDescent="0.3">
      <c r="A943" s="502">
        <v>2190010</v>
      </c>
      <c r="B943" s="503" t="s">
        <v>2733</v>
      </c>
      <c r="C943" s="514">
        <v>0</v>
      </c>
      <c r="D943" s="514">
        <v>0</v>
      </c>
      <c r="E943" s="514">
        <v>0</v>
      </c>
      <c r="F943" s="514">
        <v>0</v>
      </c>
      <c r="G943" s="514">
        <v>0</v>
      </c>
      <c r="H943" s="514">
        <v>0</v>
      </c>
      <c r="I943" s="514">
        <v>0</v>
      </c>
      <c r="J943" s="514">
        <v>0</v>
      </c>
      <c r="K943" s="514">
        <v>0</v>
      </c>
      <c r="L943" s="514">
        <v>0</v>
      </c>
      <c r="M943" s="514">
        <v>0</v>
      </c>
      <c r="N943" s="514">
        <v>0</v>
      </c>
      <c r="O943" s="499"/>
      <c r="P943" s="499"/>
      <c r="Q943" s="499"/>
    </row>
    <row r="944" spans="1:17" ht="14.4" x14ac:dyDescent="0.3">
      <c r="A944" s="502">
        <v>2190011</v>
      </c>
      <c r="B944" s="503" t="s">
        <v>2734</v>
      </c>
      <c r="C944" s="514">
        <v>0</v>
      </c>
      <c r="D944" s="514">
        <v>0</v>
      </c>
      <c r="E944" s="514">
        <v>0</v>
      </c>
      <c r="F944" s="514">
        <v>0</v>
      </c>
      <c r="G944" s="514">
        <v>0</v>
      </c>
      <c r="H944" s="514">
        <v>0</v>
      </c>
      <c r="I944" s="514">
        <v>0</v>
      </c>
      <c r="J944" s="514">
        <v>0</v>
      </c>
      <c r="K944" s="514">
        <v>0</v>
      </c>
      <c r="L944" s="514">
        <v>0</v>
      </c>
      <c r="M944" s="514">
        <v>0</v>
      </c>
      <c r="N944" s="514">
        <v>0</v>
      </c>
      <c r="O944" s="499"/>
      <c r="P944" s="499"/>
      <c r="Q944" s="499"/>
    </row>
    <row r="945" spans="1:17" ht="14.4" x14ac:dyDescent="0.3">
      <c r="A945" s="502">
        <v>2190020</v>
      </c>
      <c r="B945" s="503" t="s">
        <v>2735</v>
      </c>
      <c r="C945" s="514">
        <v>0</v>
      </c>
      <c r="D945" s="514">
        <v>0</v>
      </c>
      <c r="E945" s="514">
        <v>0</v>
      </c>
      <c r="F945" s="514">
        <v>0</v>
      </c>
      <c r="G945" s="514">
        <v>0</v>
      </c>
      <c r="H945" s="514">
        <v>0</v>
      </c>
      <c r="I945" s="514">
        <v>0</v>
      </c>
      <c r="J945" s="514">
        <v>0</v>
      </c>
      <c r="K945" s="514">
        <v>0</v>
      </c>
      <c r="L945" s="514">
        <v>0</v>
      </c>
      <c r="M945" s="514">
        <v>0</v>
      </c>
      <c r="N945" s="514">
        <v>0</v>
      </c>
      <c r="O945" s="499"/>
      <c r="P945" s="499"/>
      <c r="Q945" s="499"/>
    </row>
    <row r="946" spans="1:17" ht="14.4" x14ac:dyDescent="0.3">
      <c r="A946" s="502">
        <v>2190021</v>
      </c>
      <c r="B946" s="503" t="s">
        <v>2736</v>
      </c>
      <c r="C946" s="514">
        <v>0</v>
      </c>
      <c r="D946" s="514">
        <v>0</v>
      </c>
      <c r="E946" s="514">
        <v>0</v>
      </c>
      <c r="F946" s="514">
        <v>0</v>
      </c>
      <c r="G946" s="514">
        <v>0</v>
      </c>
      <c r="H946" s="514">
        <v>0</v>
      </c>
      <c r="I946" s="514">
        <v>0</v>
      </c>
      <c r="J946" s="514">
        <v>0</v>
      </c>
      <c r="K946" s="514">
        <v>0</v>
      </c>
      <c r="L946" s="514">
        <v>0</v>
      </c>
      <c r="M946" s="514">
        <v>0</v>
      </c>
      <c r="N946" s="514">
        <v>0</v>
      </c>
      <c r="O946" s="499"/>
      <c r="P946" s="499"/>
      <c r="Q946" s="499"/>
    </row>
    <row r="947" spans="1:17" ht="14.4" x14ac:dyDescent="0.3">
      <c r="A947" s="502">
        <v>2190030</v>
      </c>
      <c r="B947" s="503" t="s">
        <v>2737</v>
      </c>
      <c r="C947" s="514">
        <v>0</v>
      </c>
      <c r="D947" s="514">
        <v>0</v>
      </c>
      <c r="E947" s="514">
        <v>0</v>
      </c>
      <c r="F947" s="514">
        <v>0</v>
      </c>
      <c r="G947" s="514">
        <v>0</v>
      </c>
      <c r="H947" s="514">
        <v>0</v>
      </c>
      <c r="I947" s="514">
        <v>0</v>
      </c>
      <c r="J947" s="514">
        <v>0</v>
      </c>
      <c r="K947" s="514">
        <v>0</v>
      </c>
      <c r="L947" s="514">
        <v>0</v>
      </c>
      <c r="M947" s="514">
        <v>0</v>
      </c>
      <c r="N947" s="514">
        <v>0</v>
      </c>
      <c r="O947" s="499"/>
      <c r="P947" s="499"/>
      <c r="Q947" s="499"/>
    </row>
    <row r="948" spans="1:17" ht="14.4" x14ac:dyDescent="0.3">
      <c r="A948" s="502">
        <v>2190031</v>
      </c>
      <c r="B948" s="503" t="s">
        <v>2738</v>
      </c>
      <c r="C948" s="514">
        <v>0</v>
      </c>
      <c r="D948" s="514">
        <v>0</v>
      </c>
      <c r="E948" s="514">
        <v>0</v>
      </c>
      <c r="F948" s="514">
        <v>0</v>
      </c>
      <c r="G948" s="514">
        <v>0</v>
      </c>
      <c r="H948" s="514">
        <v>0</v>
      </c>
      <c r="I948" s="514">
        <v>0</v>
      </c>
      <c r="J948" s="514">
        <v>0</v>
      </c>
      <c r="K948" s="514">
        <v>0</v>
      </c>
      <c r="L948" s="514">
        <v>0</v>
      </c>
      <c r="M948" s="514">
        <v>0</v>
      </c>
      <c r="N948" s="514">
        <v>0</v>
      </c>
      <c r="O948" s="499"/>
      <c r="P948" s="499"/>
      <c r="Q948" s="499"/>
    </row>
    <row r="949" spans="1:17" ht="14.4" x14ac:dyDescent="0.3">
      <c r="A949" s="502">
        <v>2190040</v>
      </c>
      <c r="B949" s="503" t="s">
        <v>2739</v>
      </c>
      <c r="C949" s="514">
        <v>1988001.71</v>
      </c>
      <c r="D949" s="514">
        <v>1977083.74</v>
      </c>
      <c r="E949" s="514">
        <v>1966165.77</v>
      </c>
      <c r="F949" s="514">
        <v>1955247.8</v>
      </c>
      <c r="G949" s="514">
        <v>1944329.83</v>
      </c>
      <c r="H949" s="514">
        <v>1933411.86</v>
      </c>
      <c r="I949" s="514">
        <v>1922493.89</v>
      </c>
      <c r="J949" s="514">
        <v>1911575.92</v>
      </c>
      <c r="K949" s="514">
        <v>1900657.95</v>
      </c>
      <c r="L949" s="514">
        <v>1889739.98</v>
      </c>
      <c r="M949" s="514">
        <v>1878822.01</v>
      </c>
      <c r="N949" s="514">
        <v>1867904.04</v>
      </c>
      <c r="O949" s="499"/>
      <c r="P949" s="499"/>
      <c r="Q949" s="499"/>
    </row>
    <row r="950" spans="1:17" ht="14.4" x14ac:dyDescent="0.3">
      <c r="A950" s="502">
        <v>2190041</v>
      </c>
      <c r="B950" s="503" t="s">
        <v>2740</v>
      </c>
      <c r="C950" s="514">
        <v>798418.43</v>
      </c>
      <c r="D950" s="514">
        <v>796352.55</v>
      </c>
      <c r="E950" s="514">
        <v>794286.68</v>
      </c>
      <c r="F950" s="514">
        <v>792220.81</v>
      </c>
      <c r="G950" s="514">
        <v>790154.94</v>
      </c>
      <c r="H950" s="514">
        <v>788089.07</v>
      </c>
      <c r="I950" s="514">
        <v>786023.2</v>
      </c>
      <c r="J950" s="514">
        <v>783957.32</v>
      </c>
      <c r="K950" s="514">
        <v>781891.46</v>
      </c>
      <c r="L950" s="514">
        <v>779825.58</v>
      </c>
      <c r="M950" s="514">
        <v>777759.72</v>
      </c>
      <c r="N950" s="514">
        <v>775693.84</v>
      </c>
      <c r="O950" s="499"/>
      <c r="P950" s="499"/>
      <c r="Q950" s="499"/>
    </row>
    <row r="951" spans="1:17" ht="14.4" x14ac:dyDescent="0.3">
      <c r="A951" s="502">
        <v>2190050</v>
      </c>
      <c r="B951" s="503" t="s">
        <v>2741</v>
      </c>
      <c r="C951" s="514">
        <v>0</v>
      </c>
      <c r="D951" s="514">
        <v>0</v>
      </c>
      <c r="E951" s="514">
        <v>0</v>
      </c>
      <c r="F951" s="514">
        <v>0</v>
      </c>
      <c r="G951" s="514">
        <v>0</v>
      </c>
      <c r="H951" s="514">
        <v>0</v>
      </c>
      <c r="I951" s="514">
        <v>0</v>
      </c>
      <c r="J951" s="514">
        <v>0</v>
      </c>
      <c r="K951" s="514">
        <v>0</v>
      </c>
      <c r="L951" s="514">
        <v>0</v>
      </c>
      <c r="M951" s="514">
        <v>0</v>
      </c>
      <c r="N951" s="514">
        <v>0</v>
      </c>
      <c r="O951" s="499"/>
      <c r="P951" s="499"/>
      <c r="Q951" s="499"/>
    </row>
    <row r="952" spans="1:17" ht="14.4" x14ac:dyDescent="0.3">
      <c r="A952" s="502">
        <v>2190051</v>
      </c>
      <c r="B952" s="503" t="s">
        <v>2742</v>
      </c>
      <c r="C952" s="514">
        <v>0</v>
      </c>
      <c r="D952" s="514">
        <v>0</v>
      </c>
      <c r="E952" s="514">
        <v>0</v>
      </c>
      <c r="F952" s="514">
        <v>0</v>
      </c>
      <c r="G952" s="514">
        <v>0</v>
      </c>
      <c r="H952" s="514">
        <v>0</v>
      </c>
      <c r="I952" s="514">
        <v>0</v>
      </c>
      <c r="J952" s="514">
        <v>0</v>
      </c>
      <c r="K952" s="514">
        <v>0</v>
      </c>
      <c r="L952" s="514">
        <v>0</v>
      </c>
      <c r="M952" s="514">
        <v>0</v>
      </c>
      <c r="N952" s="514">
        <v>0</v>
      </c>
      <c r="O952" s="499"/>
      <c r="P952" s="499"/>
      <c r="Q952" s="499"/>
    </row>
    <row r="953" spans="1:17" ht="14.4" x14ac:dyDescent="0.3">
      <c r="A953" s="502">
        <v>2190740</v>
      </c>
      <c r="B953" s="503" t="s">
        <v>2743</v>
      </c>
      <c r="C953" s="514">
        <v>0</v>
      </c>
      <c r="D953" s="514">
        <v>0</v>
      </c>
      <c r="E953" s="514">
        <v>0</v>
      </c>
      <c r="F953" s="514">
        <v>0</v>
      </c>
      <c r="G953" s="514">
        <v>0</v>
      </c>
      <c r="H953" s="514">
        <v>0</v>
      </c>
      <c r="I953" s="514">
        <v>0</v>
      </c>
      <c r="J953" s="514">
        <v>0</v>
      </c>
      <c r="K953" s="514">
        <v>0</v>
      </c>
      <c r="L953" s="514">
        <v>0</v>
      </c>
      <c r="M953" s="514">
        <v>0</v>
      </c>
      <c r="N953" s="514">
        <v>0</v>
      </c>
      <c r="O953" s="499"/>
      <c r="P953" s="499"/>
      <c r="Q953" s="499"/>
    </row>
    <row r="954" spans="1:17" ht="14.4" x14ac:dyDescent="0.3">
      <c r="A954" s="502">
        <v>2190741</v>
      </c>
      <c r="B954" s="503" t="s">
        <v>2744</v>
      </c>
      <c r="C954" s="514">
        <v>0</v>
      </c>
      <c r="D954" s="514">
        <v>0</v>
      </c>
      <c r="E954" s="514">
        <v>0</v>
      </c>
      <c r="F954" s="514">
        <v>0</v>
      </c>
      <c r="G954" s="514">
        <v>0</v>
      </c>
      <c r="H954" s="514">
        <v>0</v>
      </c>
      <c r="I954" s="514">
        <v>0</v>
      </c>
      <c r="J954" s="514">
        <v>0</v>
      </c>
      <c r="K954" s="514">
        <v>0</v>
      </c>
      <c r="L954" s="514">
        <v>0</v>
      </c>
      <c r="M954" s="514">
        <v>0</v>
      </c>
      <c r="N954" s="514">
        <v>0</v>
      </c>
      <c r="O954" s="499"/>
      <c r="P954" s="499"/>
      <c r="Q954" s="499"/>
    </row>
    <row r="955" spans="1:17" ht="14.4" x14ac:dyDescent="0.3">
      <c r="A955" s="502">
        <v>2210100</v>
      </c>
      <c r="B955" s="503" t="s">
        <v>2745</v>
      </c>
      <c r="C955" s="514">
        <v>0</v>
      </c>
      <c r="D955" s="514">
        <v>0</v>
      </c>
      <c r="E955" s="514">
        <v>0</v>
      </c>
      <c r="F955" s="514">
        <v>0</v>
      </c>
      <c r="G955" s="514">
        <v>0</v>
      </c>
      <c r="H955" s="514">
        <v>0</v>
      </c>
      <c r="I955" s="514">
        <v>0</v>
      </c>
      <c r="J955" s="514">
        <v>0</v>
      </c>
      <c r="K955" s="514">
        <v>0</v>
      </c>
      <c r="L955" s="514">
        <v>0</v>
      </c>
      <c r="M955" s="514">
        <v>0</v>
      </c>
      <c r="N955" s="514">
        <v>0</v>
      </c>
      <c r="O955" s="499"/>
      <c r="P955" s="499"/>
      <c r="Q955" s="499"/>
    </row>
    <row r="956" spans="1:17" ht="14.4" x14ac:dyDescent="0.3">
      <c r="A956" s="502">
        <v>2210150</v>
      </c>
      <c r="B956" s="503" t="s">
        <v>2746</v>
      </c>
      <c r="C956" s="514">
        <v>0</v>
      </c>
      <c r="D956" s="514">
        <v>0</v>
      </c>
      <c r="E956" s="514">
        <v>0</v>
      </c>
      <c r="F956" s="514">
        <v>0</v>
      </c>
      <c r="G956" s="514">
        <v>0</v>
      </c>
      <c r="H956" s="514">
        <v>0</v>
      </c>
      <c r="I956" s="514">
        <v>0</v>
      </c>
      <c r="J956" s="514">
        <v>0</v>
      </c>
      <c r="K956" s="514">
        <v>0</v>
      </c>
      <c r="L956" s="514">
        <v>0</v>
      </c>
      <c r="M956" s="514">
        <v>0</v>
      </c>
      <c r="N956" s="514">
        <v>0</v>
      </c>
      <c r="O956" s="499"/>
      <c r="P956" s="499"/>
      <c r="Q956" s="499"/>
    </row>
    <row r="957" spans="1:17" ht="14.4" x14ac:dyDescent="0.3">
      <c r="A957" s="502">
        <v>2210200</v>
      </c>
      <c r="B957" s="503" t="s">
        <v>2747</v>
      </c>
      <c r="C957" s="514">
        <v>4175000000</v>
      </c>
      <c r="D957" s="514">
        <v>4175000000</v>
      </c>
      <c r="E957" s="514">
        <v>4175000000</v>
      </c>
      <c r="F957" s="514">
        <v>4175000000</v>
      </c>
      <c r="G957" s="514">
        <v>4175000000</v>
      </c>
      <c r="H957" s="514">
        <v>4175000000</v>
      </c>
      <c r="I957" s="514">
        <v>4175000000</v>
      </c>
      <c r="J957" s="514">
        <v>4175000000</v>
      </c>
      <c r="K957" s="514">
        <v>4175000000</v>
      </c>
      <c r="L957" s="514">
        <v>4175000000</v>
      </c>
      <c r="M957" s="514">
        <v>4575000000</v>
      </c>
      <c r="N957" s="514">
        <v>4575000000</v>
      </c>
      <c r="O957" s="499"/>
      <c r="P957" s="499"/>
      <c r="Q957" s="499"/>
    </row>
    <row r="958" spans="1:17" ht="14.4" x14ac:dyDescent="0.3">
      <c r="A958" s="502">
        <v>2210250</v>
      </c>
      <c r="B958" s="503" t="s">
        <v>2748</v>
      </c>
      <c r="C958" s="514">
        <v>0</v>
      </c>
      <c r="D958" s="514">
        <v>0</v>
      </c>
      <c r="E958" s="514">
        <v>0</v>
      </c>
      <c r="F958" s="514">
        <v>0</v>
      </c>
      <c r="G958" s="514">
        <v>0</v>
      </c>
      <c r="H958" s="514">
        <v>0</v>
      </c>
      <c r="I958" s="514">
        <v>0</v>
      </c>
      <c r="J958" s="514">
        <v>0</v>
      </c>
      <c r="K958" s="514">
        <v>0</v>
      </c>
      <c r="L958" s="514">
        <v>0</v>
      </c>
      <c r="M958" s="514">
        <v>0</v>
      </c>
      <c r="N958" s="514">
        <v>0</v>
      </c>
      <c r="O958" s="499"/>
      <c r="P958" s="499"/>
      <c r="Q958" s="499"/>
    </row>
    <row r="959" spans="1:17" ht="14.4" x14ac:dyDescent="0.3">
      <c r="A959" s="502">
        <v>2230730</v>
      </c>
      <c r="B959" s="503" t="s">
        <v>2749</v>
      </c>
      <c r="C959" s="514">
        <v>0</v>
      </c>
      <c r="D959" s="514">
        <v>0</v>
      </c>
      <c r="E959" s="514">
        <v>0</v>
      </c>
      <c r="F959" s="514">
        <v>0</v>
      </c>
      <c r="G959" s="514">
        <v>0</v>
      </c>
      <c r="H959" s="514">
        <v>0</v>
      </c>
      <c r="I959" s="514">
        <v>0</v>
      </c>
      <c r="J959" s="514">
        <v>0</v>
      </c>
      <c r="K959" s="514">
        <v>0</v>
      </c>
      <c r="L959" s="514">
        <v>0</v>
      </c>
      <c r="M959" s="514">
        <v>0</v>
      </c>
      <c r="N959" s="514">
        <v>0</v>
      </c>
      <c r="O959" s="499"/>
      <c r="P959" s="499"/>
      <c r="Q959" s="499"/>
    </row>
    <row r="960" spans="1:17" ht="14.4" x14ac:dyDescent="0.3">
      <c r="A960" s="502">
        <v>2230731</v>
      </c>
      <c r="B960" s="503" t="s">
        <v>2077</v>
      </c>
      <c r="C960" s="514">
        <v>0</v>
      </c>
      <c r="D960" s="514">
        <v>0</v>
      </c>
      <c r="E960" s="514">
        <v>0</v>
      </c>
      <c r="F960" s="514">
        <v>0</v>
      </c>
      <c r="G960" s="514">
        <v>0</v>
      </c>
      <c r="H960" s="514">
        <v>0</v>
      </c>
      <c r="I960" s="514">
        <v>0</v>
      </c>
      <c r="J960" s="514">
        <v>0</v>
      </c>
      <c r="K960" s="514">
        <v>0</v>
      </c>
      <c r="L960" s="514">
        <v>0</v>
      </c>
      <c r="M960" s="514">
        <v>0</v>
      </c>
      <c r="N960" s="514">
        <v>0</v>
      </c>
      <c r="O960" s="499"/>
      <c r="P960" s="499"/>
      <c r="Q960" s="499"/>
    </row>
    <row r="961" spans="1:17" ht="14.4" x14ac:dyDescent="0.3">
      <c r="A961" s="502">
        <v>2230732</v>
      </c>
      <c r="B961" s="503" t="s">
        <v>2750</v>
      </c>
      <c r="C961" s="514">
        <v>0</v>
      </c>
      <c r="D961" s="514">
        <v>0</v>
      </c>
      <c r="E961" s="514">
        <v>0</v>
      </c>
      <c r="F961" s="514">
        <v>0</v>
      </c>
      <c r="G961" s="514">
        <v>0</v>
      </c>
      <c r="H961" s="514">
        <v>0</v>
      </c>
      <c r="I961" s="514">
        <v>0</v>
      </c>
      <c r="J961" s="514">
        <v>0</v>
      </c>
      <c r="K961" s="514">
        <v>0</v>
      </c>
      <c r="L961" s="514">
        <v>0</v>
      </c>
      <c r="M961" s="514">
        <v>0</v>
      </c>
      <c r="N961" s="514">
        <v>0</v>
      </c>
      <c r="O961" s="499"/>
      <c r="P961" s="499"/>
      <c r="Q961" s="499"/>
    </row>
    <row r="962" spans="1:17" ht="14.4" x14ac:dyDescent="0.3">
      <c r="A962" s="502">
        <v>2240100</v>
      </c>
      <c r="B962" s="503" t="s">
        <v>2751</v>
      </c>
      <c r="C962" s="514">
        <v>0</v>
      </c>
      <c r="D962" s="514">
        <v>0</v>
      </c>
      <c r="E962" s="514">
        <v>0</v>
      </c>
      <c r="F962" s="514">
        <v>0</v>
      </c>
      <c r="G962" s="514">
        <v>0</v>
      </c>
      <c r="H962" s="514">
        <v>0</v>
      </c>
      <c r="I962" s="514">
        <v>0</v>
      </c>
      <c r="J962" s="514">
        <v>0</v>
      </c>
      <c r="K962" s="514">
        <v>0</v>
      </c>
      <c r="L962" s="514">
        <v>0</v>
      </c>
      <c r="M962" s="514">
        <v>0</v>
      </c>
      <c r="N962" s="514">
        <v>0</v>
      </c>
      <c r="O962" s="499"/>
      <c r="P962" s="499"/>
      <c r="Q962" s="499"/>
    </row>
    <row r="963" spans="1:17" ht="14.4" x14ac:dyDescent="0.3">
      <c r="A963" s="502">
        <v>2240110</v>
      </c>
      <c r="B963" s="503" t="s">
        <v>2752</v>
      </c>
      <c r="C963" s="514">
        <v>0</v>
      </c>
      <c r="D963" s="514">
        <v>0</v>
      </c>
      <c r="E963" s="514">
        <v>0</v>
      </c>
      <c r="F963" s="514">
        <v>0</v>
      </c>
      <c r="G963" s="514">
        <v>0</v>
      </c>
      <c r="H963" s="514">
        <v>0</v>
      </c>
      <c r="I963" s="514">
        <v>0</v>
      </c>
      <c r="J963" s="514">
        <v>0</v>
      </c>
      <c r="K963" s="514">
        <v>0</v>
      </c>
      <c r="L963" s="514">
        <v>0</v>
      </c>
      <c r="M963" s="514">
        <v>0</v>
      </c>
      <c r="N963" s="514">
        <v>0</v>
      </c>
      <c r="O963" s="499"/>
      <c r="P963" s="499"/>
      <c r="Q963" s="499"/>
    </row>
    <row r="964" spans="1:17" ht="14.4" x14ac:dyDescent="0.3">
      <c r="A964" s="502">
        <v>2240150</v>
      </c>
      <c r="B964" s="503" t="s">
        <v>2753</v>
      </c>
      <c r="C964" s="514">
        <v>0</v>
      </c>
      <c r="D964" s="514">
        <v>0</v>
      </c>
      <c r="E964" s="514">
        <v>0</v>
      </c>
      <c r="F964" s="514">
        <v>0</v>
      </c>
      <c r="G964" s="514">
        <v>0</v>
      </c>
      <c r="H964" s="514">
        <v>0</v>
      </c>
      <c r="I964" s="514">
        <v>0</v>
      </c>
      <c r="J964" s="514">
        <v>0</v>
      </c>
      <c r="K964" s="514">
        <v>0</v>
      </c>
      <c r="L964" s="514">
        <v>0</v>
      </c>
      <c r="M964" s="514">
        <v>0</v>
      </c>
      <c r="N964" s="514">
        <v>0</v>
      </c>
      <c r="O964" s="499"/>
      <c r="P964" s="499"/>
      <c r="Q964" s="499"/>
    </row>
    <row r="965" spans="1:17" ht="14.4" x14ac:dyDescent="0.3">
      <c r="A965" s="502">
        <v>2240200</v>
      </c>
      <c r="B965" s="503" t="s">
        <v>2754</v>
      </c>
      <c r="C965" s="514">
        <v>0</v>
      </c>
      <c r="D965" s="514">
        <v>0</v>
      </c>
      <c r="E965" s="514">
        <v>0</v>
      </c>
      <c r="F965" s="514">
        <v>0</v>
      </c>
      <c r="G965" s="514">
        <v>0</v>
      </c>
      <c r="H965" s="514">
        <v>0</v>
      </c>
      <c r="I965" s="514">
        <v>0</v>
      </c>
      <c r="J965" s="514">
        <v>0</v>
      </c>
      <c r="K965" s="514">
        <v>0</v>
      </c>
      <c r="L965" s="514">
        <v>0</v>
      </c>
      <c r="M965" s="514">
        <v>0</v>
      </c>
      <c r="N965" s="514">
        <v>0</v>
      </c>
      <c r="O965" s="499"/>
      <c r="P965" s="499"/>
      <c r="Q965" s="499"/>
    </row>
    <row r="966" spans="1:17" ht="14.4" x14ac:dyDescent="0.3">
      <c r="A966" s="502">
        <v>2240210</v>
      </c>
      <c r="B966" s="503" t="s">
        <v>2755</v>
      </c>
      <c r="C966" s="514">
        <v>0</v>
      </c>
      <c r="D966" s="514">
        <v>0</v>
      </c>
      <c r="E966" s="514">
        <v>0</v>
      </c>
      <c r="F966" s="514">
        <v>0</v>
      </c>
      <c r="G966" s="514">
        <v>0</v>
      </c>
      <c r="H966" s="514">
        <v>0</v>
      </c>
      <c r="I966" s="514">
        <v>0</v>
      </c>
      <c r="J966" s="514">
        <v>0</v>
      </c>
      <c r="K966" s="514">
        <v>0</v>
      </c>
      <c r="L966" s="514">
        <v>0</v>
      </c>
      <c r="M966" s="514">
        <v>0</v>
      </c>
      <c r="N966" s="514">
        <v>0</v>
      </c>
      <c r="O966" s="499"/>
      <c r="P966" s="499"/>
      <c r="Q966" s="499"/>
    </row>
    <row r="967" spans="1:17" ht="14.4" x14ac:dyDescent="0.3">
      <c r="A967" s="502">
        <v>2240250</v>
      </c>
      <c r="B967" s="503" t="s">
        <v>2756</v>
      </c>
      <c r="C967" s="514">
        <v>0</v>
      </c>
      <c r="D967" s="514">
        <v>0</v>
      </c>
      <c r="E967" s="514">
        <v>0</v>
      </c>
      <c r="F967" s="514">
        <v>0</v>
      </c>
      <c r="G967" s="514">
        <v>0</v>
      </c>
      <c r="H967" s="514">
        <v>0</v>
      </c>
      <c r="I967" s="514">
        <v>0</v>
      </c>
      <c r="J967" s="514">
        <v>0</v>
      </c>
      <c r="K967" s="514">
        <v>0</v>
      </c>
      <c r="L967" s="514">
        <v>0</v>
      </c>
      <c r="M967" s="514">
        <v>0</v>
      </c>
      <c r="N967" s="514">
        <v>0</v>
      </c>
      <c r="O967" s="499"/>
      <c r="P967" s="499"/>
      <c r="Q967" s="499"/>
    </row>
    <row r="968" spans="1:17" ht="14.4" x14ac:dyDescent="0.3">
      <c r="A968" s="502">
        <v>2250200</v>
      </c>
      <c r="B968" s="503" t="s">
        <v>2757</v>
      </c>
      <c r="C968" s="514">
        <v>0</v>
      </c>
      <c r="D968" s="514">
        <v>0</v>
      </c>
      <c r="E968" s="514">
        <v>0</v>
      </c>
      <c r="F968" s="514">
        <v>0</v>
      </c>
      <c r="G968" s="514">
        <v>0</v>
      </c>
      <c r="H968" s="514">
        <v>0</v>
      </c>
      <c r="I968" s="514">
        <v>0</v>
      </c>
      <c r="J968" s="514">
        <v>0</v>
      </c>
      <c r="K968" s="514">
        <v>0</v>
      </c>
      <c r="L968" s="514">
        <v>0</v>
      </c>
      <c r="M968" s="514">
        <v>0</v>
      </c>
      <c r="N968" s="514">
        <v>0</v>
      </c>
      <c r="O968" s="499"/>
      <c r="P968" s="499"/>
      <c r="Q968" s="499"/>
    </row>
    <row r="969" spans="1:17" ht="14.4" x14ac:dyDescent="0.3">
      <c r="A969" s="502">
        <v>2250250</v>
      </c>
      <c r="B969" s="503" t="s">
        <v>2758</v>
      </c>
      <c r="C969" s="514">
        <v>0</v>
      </c>
      <c r="D969" s="514">
        <v>0</v>
      </c>
      <c r="E969" s="514">
        <v>0</v>
      </c>
      <c r="F969" s="514">
        <v>0</v>
      </c>
      <c r="G969" s="514">
        <v>0</v>
      </c>
      <c r="H969" s="514">
        <v>0</v>
      </c>
      <c r="I969" s="514">
        <v>0</v>
      </c>
      <c r="J969" s="514">
        <v>0</v>
      </c>
      <c r="K969" s="514">
        <v>0</v>
      </c>
      <c r="L969" s="514">
        <v>0</v>
      </c>
      <c r="M969" s="514">
        <v>0</v>
      </c>
      <c r="N969" s="514">
        <v>0</v>
      </c>
      <c r="O969" s="499"/>
      <c r="P969" s="499"/>
      <c r="Q969" s="499"/>
    </row>
    <row r="970" spans="1:17" ht="14.4" x14ac:dyDescent="0.3">
      <c r="A970" s="502">
        <v>2260200</v>
      </c>
      <c r="B970" s="503" t="s">
        <v>2759</v>
      </c>
      <c r="C970" s="514">
        <v>10593814.470000001</v>
      </c>
      <c r="D970" s="514">
        <v>10541909.439999999</v>
      </c>
      <c r="E970" s="514">
        <v>10490004.41</v>
      </c>
      <c r="F970" s="514">
        <v>12438099.380000001</v>
      </c>
      <c r="G970" s="514">
        <v>12369527.68</v>
      </c>
      <c r="H970" s="514">
        <v>12300955.99</v>
      </c>
      <c r="I970" s="514">
        <v>12237150.039999999</v>
      </c>
      <c r="J970" s="514">
        <v>12173344.09</v>
      </c>
      <c r="K970" s="514">
        <v>13609538.15</v>
      </c>
      <c r="L970" s="514">
        <v>13533232.199999999</v>
      </c>
      <c r="M970" s="514">
        <v>13456926.25</v>
      </c>
      <c r="N970" s="514">
        <v>13380620.310000001</v>
      </c>
      <c r="O970" s="499"/>
      <c r="P970" s="499"/>
      <c r="Q970" s="499"/>
    </row>
    <row r="971" spans="1:17" ht="14.4" x14ac:dyDescent="0.3">
      <c r="A971" s="502">
        <v>2260250</v>
      </c>
      <c r="B971" s="503" t="s">
        <v>2760</v>
      </c>
      <c r="C971" s="514">
        <v>0</v>
      </c>
      <c r="D971" s="514">
        <v>0</v>
      </c>
      <c r="E971" s="514">
        <v>0</v>
      </c>
      <c r="F971" s="514">
        <v>0</v>
      </c>
      <c r="G971" s="514">
        <v>0</v>
      </c>
      <c r="H971" s="514">
        <v>0</v>
      </c>
      <c r="I971" s="514">
        <v>0</v>
      </c>
      <c r="J971" s="514">
        <v>0</v>
      </c>
      <c r="K971" s="514">
        <v>0</v>
      </c>
      <c r="L971" s="514">
        <v>0</v>
      </c>
      <c r="M971" s="514">
        <v>0</v>
      </c>
      <c r="N971" s="514">
        <v>0</v>
      </c>
      <c r="O971" s="499"/>
      <c r="P971" s="499"/>
      <c r="Q971" s="499"/>
    </row>
    <row r="972" spans="1:17" ht="14.4" x14ac:dyDescent="0.3">
      <c r="A972" s="502">
        <v>2270200</v>
      </c>
      <c r="B972" s="503" t="s">
        <v>2761</v>
      </c>
      <c r="C972" s="514">
        <v>30797502.899999999</v>
      </c>
      <c r="D972" s="514">
        <v>30810406.109999999</v>
      </c>
      <c r="E972" s="514">
        <v>30823363.57</v>
      </c>
      <c r="F972" s="514">
        <v>30836375.5</v>
      </c>
      <c r="G972" s="514">
        <v>30849442.120000001</v>
      </c>
      <c r="H972" s="514">
        <v>30862563.68</v>
      </c>
      <c r="I972" s="514">
        <v>30874845.32</v>
      </c>
      <c r="J972" s="514">
        <v>30887179.02</v>
      </c>
      <c r="K972" s="514">
        <v>30899565</v>
      </c>
      <c r="L972" s="514">
        <v>30912003.489999998</v>
      </c>
      <c r="M972" s="514">
        <v>30922948.280000001</v>
      </c>
      <c r="N972" s="514">
        <v>30933939.579999998</v>
      </c>
      <c r="O972" s="499"/>
      <c r="P972" s="499"/>
      <c r="Q972" s="499"/>
    </row>
    <row r="973" spans="1:17" ht="14.4" x14ac:dyDescent="0.3">
      <c r="A973" s="502">
        <v>2270201</v>
      </c>
      <c r="B973" s="503" t="s">
        <v>2762</v>
      </c>
      <c r="C973" s="514">
        <v>2511839.86</v>
      </c>
      <c r="D973" s="514">
        <v>2465844.65</v>
      </c>
      <c r="E973" s="514">
        <v>2419784.6800000002</v>
      </c>
      <c r="F973" s="514">
        <v>2373659.84</v>
      </c>
      <c r="G973" s="514">
        <v>2326915.2400000002</v>
      </c>
      <c r="H973" s="514">
        <v>2280104.81</v>
      </c>
      <c r="I973" s="514">
        <v>2233228.4700000002</v>
      </c>
      <c r="J973" s="514">
        <v>2186286.12</v>
      </c>
      <c r="K973" s="514">
        <v>2139277.67</v>
      </c>
      <c r="L973" s="514">
        <v>2092203.02</v>
      </c>
      <c r="M973" s="514">
        <v>2045062.08</v>
      </c>
      <c r="N973" s="514">
        <v>1997854.77</v>
      </c>
      <c r="O973" s="499"/>
      <c r="P973" s="499"/>
      <c r="Q973" s="499"/>
    </row>
    <row r="974" spans="1:17" ht="14.4" x14ac:dyDescent="0.3">
      <c r="A974" s="502">
        <v>2281000</v>
      </c>
      <c r="B974" s="503" t="s">
        <v>2763</v>
      </c>
      <c r="C974" s="514">
        <v>17385926.449999999</v>
      </c>
      <c r="D974" s="514">
        <v>17385926.449999999</v>
      </c>
      <c r="E974" s="514">
        <v>17385926.449999999</v>
      </c>
      <c r="F974" s="514">
        <v>17385926.449999999</v>
      </c>
      <c r="G974" s="514">
        <v>17385926.449999999</v>
      </c>
      <c r="H974" s="514">
        <v>17385926.449999999</v>
      </c>
      <c r="I974" s="514">
        <v>17385926.449999999</v>
      </c>
      <c r="J974" s="514">
        <v>17385926.449999999</v>
      </c>
      <c r="K974" s="514">
        <v>17385926.449999999</v>
      </c>
      <c r="L974" s="514">
        <v>17385926.449999999</v>
      </c>
      <c r="M974" s="514">
        <v>17385926.449999999</v>
      </c>
      <c r="N974" s="514">
        <v>17385926.449999999</v>
      </c>
      <c r="O974" s="499"/>
      <c r="P974" s="499"/>
      <c r="Q974" s="499"/>
    </row>
    <row r="975" spans="1:17" ht="14.4" x14ac:dyDescent="0.3">
      <c r="A975" s="502">
        <v>2281080</v>
      </c>
      <c r="B975" s="503" t="s">
        <v>2764</v>
      </c>
      <c r="C975" s="514">
        <v>0</v>
      </c>
      <c r="D975" s="514">
        <v>0</v>
      </c>
      <c r="E975" s="514">
        <v>0</v>
      </c>
      <c r="F975" s="514">
        <v>0</v>
      </c>
      <c r="G975" s="514">
        <v>0</v>
      </c>
      <c r="H975" s="514">
        <v>0</v>
      </c>
      <c r="I975" s="514">
        <v>0</v>
      </c>
      <c r="J975" s="514">
        <v>0</v>
      </c>
      <c r="K975" s="514">
        <v>0</v>
      </c>
      <c r="L975" s="514">
        <v>0</v>
      </c>
      <c r="M975" s="514">
        <v>0</v>
      </c>
      <c r="N975" s="514">
        <v>0</v>
      </c>
      <c r="O975" s="499"/>
      <c r="P975" s="499"/>
      <c r="Q975" s="499"/>
    </row>
    <row r="976" spans="1:17" ht="14.4" x14ac:dyDescent="0.3">
      <c r="A976" s="502">
        <v>2281081</v>
      </c>
      <c r="B976" s="503" t="s">
        <v>2765</v>
      </c>
      <c r="C976" s="514">
        <v>0</v>
      </c>
      <c r="D976" s="514">
        <v>0</v>
      </c>
      <c r="E976" s="514">
        <v>0</v>
      </c>
      <c r="F976" s="514">
        <v>0</v>
      </c>
      <c r="G976" s="514">
        <v>0</v>
      </c>
      <c r="H976" s="514">
        <v>0</v>
      </c>
      <c r="I976" s="514">
        <v>0</v>
      </c>
      <c r="J976" s="514">
        <v>0</v>
      </c>
      <c r="K976" s="514">
        <v>0</v>
      </c>
      <c r="L976" s="514">
        <v>0</v>
      </c>
      <c r="M976" s="514">
        <v>0</v>
      </c>
      <c r="N976" s="514">
        <v>0</v>
      </c>
      <c r="O976" s="499"/>
      <c r="P976" s="499"/>
      <c r="Q976" s="499"/>
    </row>
    <row r="977" spans="1:17" ht="14.4" x14ac:dyDescent="0.3">
      <c r="A977" s="502">
        <v>2281100</v>
      </c>
      <c r="B977" s="503" t="s">
        <v>2624</v>
      </c>
      <c r="C977" s="514">
        <v>0</v>
      </c>
      <c r="D977" s="514">
        <v>0</v>
      </c>
      <c r="E977" s="514">
        <v>0</v>
      </c>
      <c r="F977" s="514">
        <v>0</v>
      </c>
      <c r="G977" s="514">
        <v>0</v>
      </c>
      <c r="H977" s="514">
        <v>0</v>
      </c>
      <c r="I977" s="514">
        <v>0</v>
      </c>
      <c r="J977" s="514">
        <v>0</v>
      </c>
      <c r="K977" s="514">
        <v>0</v>
      </c>
      <c r="L977" s="514">
        <v>0</v>
      </c>
      <c r="M977" s="514">
        <v>0</v>
      </c>
      <c r="N977" s="514">
        <v>0</v>
      </c>
      <c r="O977" s="499"/>
      <c r="P977" s="499"/>
      <c r="Q977" s="499"/>
    </row>
    <row r="978" spans="1:17" ht="14.4" x14ac:dyDescent="0.3">
      <c r="A978" s="502">
        <v>2282001</v>
      </c>
      <c r="B978" s="503" t="s">
        <v>2766</v>
      </c>
      <c r="C978" s="514">
        <v>0</v>
      </c>
      <c r="D978" s="514">
        <v>0</v>
      </c>
      <c r="E978" s="514">
        <v>0</v>
      </c>
      <c r="F978" s="514">
        <v>0</v>
      </c>
      <c r="G978" s="514">
        <v>0</v>
      </c>
      <c r="H978" s="514">
        <v>0</v>
      </c>
      <c r="I978" s="514">
        <v>0</v>
      </c>
      <c r="J978" s="514">
        <v>0</v>
      </c>
      <c r="K978" s="514">
        <v>0</v>
      </c>
      <c r="L978" s="514">
        <v>0</v>
      </c>
      <c r="M978" s="514">
        <v>0</v>
      </c>
      <c r="N978" s="514">
        <v>0</v>
      </c>
      <c r="O978" s="499"/>
      <c r="P978" s="499"/>
      <c r="Q978" s="499"/>
    </row>
    <row r="979" spans="1:17" ht="14.4" x14ac:dyDescent="0.3">
      <c r="A979" s="502">
        <v>2282002</v>
      </c>
      <c r="B979" s="503" t="s">
        <v>2767</v>
      </c>
      <c r="C979" s="514">
        <v>0</v>
      </c>
      <c r="D979" s="514">
        <v>0</v>
      </c>
      <c r="E979" s="514">
        <v>0</v>
      </c>
      <c r="F979" s="514">
        <v>0</v>
      </c>
      <c r="G979" s="514">
        <v>0</v>
      </c>
      <c r="H979" s="514">
        <v>0</v>
      </c>
      <c r="I979" s="514">
        <v>0</v>
      </c>
      <c r="J979" s="514">
        <v>0</v>
      </c>
      <c r="K979" s="514">
        <v>0</v>
      </c>
      <c r="L979" s="514">
        <v>0</v>
      </c>
      <c r="M979" s="514">
        <v>0</v>
      </c>
      <c r="N979" s="514">
        <v>0</v>
      </c>
      <c r="O979" s="499"/>
      <c r="P979" s="499"/>
      <c r="Q979" s="499"/>
    </row>
    <row r="980" spans="1:17" ht="14.4" x14ac:dyDescent="0.3">
      <c r="A980" s="502">
        <v>2282010</v>
      </c>
      <c r="B980" s="503" t="s">
        <v>2768</v>
      </c>
      <c r="C980" s="514">
        <v>6291974.6200000001</v>
      </c>
      <c r="D980" s="514">
        <v>6301717.25</v>
      </c>
      <c r="E980" s="514">
        <v>6311459.8700000001</v>
      </c>
      <c r="F980" s="514">
        <v>6321202.5</v>
      </c>
      <c r="G980" s="514">
        <v>6330945.1200000001</v>
      </c>
      <c r="H980" s="514">
        <v>6340687.75</v>
      </c>
      <c r="I980" s="514">
        <v>6350430.3700000001</v>
      </c>
      <c r="J980" s="514">
        <v>6360173</v>
      </c>
      <c r="K980" s="514">
        <v>6369915.6200000001</v>
      </c>
      <c r="L980" s="514">
        <v>6379658.25</v>
      </c>
      <c r="M980" s="514">
        <v>6389400.8700000001</v>
      </c>
      <c r="N980" s="514">
        <v>6399143.5</v>
      </c>
      <c r="O980" s="499"/>
      <c r="P980" s="499"/>
      <c r="Q980" s="499"/>
    </row>
    <row r="981" spans="1:17" ht="14.4" x14ac:dyDescent="0.3">
      <c r="A981" s="502">
        <v>2282020</v>
      </c>
      <c r="B981" s="503" t="s">
        <v>2769</v>
      </c>
      <c r="C981" s="514">
        <v>2414849.4300000002</v>
      </c>
      <c r="D981" s="514">
        <v>2414160.85</v>
      </c>
      <c r="E981" s="514">
        <v>2413472.2799999998</v>
      </c>
      <c r="F981" s="514">
        <v>2412783.71</v>
      </c>
      <c r="G981" s="514">
        <v>2412095.14</v>
      </c>
      <c r="H981" s="514">
        <v>2411406.56</v>
      </c>
      <c r="I981" s="514">
        <v>2410717.9900000002</v>
      </c>
      <c r="J981" s="514">
        <v>2410029.42</v>
      </c>
      <c r="K981" s="514">
        <v>2409340.85</v>
      </c>
      <c r="L981" s="514">
        <v>2408652.27</v>
      </c>
      <c r="M981" s="514">
        <v>2407963.7000000002</v>
      </c>
      <c r="N981" s="514">
        <v>2407275.13</v>
      </c>
      <c r="O981" s="499"/>
      <c r="P981" s="499"/>
      <c r="Q981" s="499"/>
    </row>
    <row r="982" spans="1:17" ht="14.4" x14ac:dyDescent="0.3">
      <c r="A982" s="502">
        <v>2282030</v>
      </c>
      <c r="B982" s="503" t="s">
        <v>2770</v>
      </c>
      <c r="C982" s="514">
        <v>0</v>
      </c>
      <c r="D982" s="514">
        <v>0</v>
      </c>
      <c r="E982" s="514">
        <v>0</v>
      </c>
      <c r="F982" s="514">
        <v>0</v>
      </c>
      <c r="G982" s="514">
        <v>0</v>
      </c>
      <c r="H982" s="514">
        <v>0</v>
      </c>
      <c r="I982" s="514">
        <v>0</v>
      </c>
      <c r="J982" s="514">
        <v>0</v>
      </c>
      <c r="K982" s="514">
        <v>0</v>
      </c>
      <c r="L982" s="514">
        <v>0</v>
      </c>
      <c r="M982" s="514">
        <v>0</v>
      </c>
      <c r="N982" s="514">
        <v>0</v>
      </c>
      <c r="O982" s="499"/>
      <c r="P982" s="499"/>
      <c r="Q982" s="499"/>
    </row>
    <row r="983" spans="1:17" ht="14.4" x14ac:dyDescent="0.3">
      <c r="A983" s="502">
        <v>2282040</v>
      </c>
      <c r="B983" s="503" t="s">
        <v>2771</v>
      </c>
      <c r="C983" s="514">
        <v>51727.33</v>
      </c>
      <c r="D983" s="514">
        <v>51310.67</v>
      </c>
      <c r="E983" s="514">
        <v>50894</v>
      </c>
      <c r="F983" s="514">
        <v>50477.33</v>
      </c>
      <c r="G983" s="514">
        <v>50060.67</v>
      </c>
      <c r="H983" s="514">
        <v>49644</v>
      </c>
      <c r="I983" s="514">
        <v>49227.33</v>
      </c>
      <c r="J983" s="514">
        <v>48810.67</v>
      </c>
      <c r="K983" s="514">
        <v>48394</v>
      </c>
      <c r="L983" s="514">
        <v>47977.33</v>
      </c>
      <c r="M983" s="514">
        <v>47560.67</v>
      </c>
      <c r="N983" s="514">
        <v>47144</v>
      </c>
      <c r="O983" s="499"/>
      <c r="P983" s="499"/>
      <c r="Q983" s="499"/>
    </row>
    <row r="984" spans="1:17" ht="14.4" x14ac:dyDescent="0.3">
      <c r="A984" s="502">
        <v>2282110</v>
      </c>
      <c r="B984" s="503" t="s">
        <v>2772</v>
      </c>
      <c r="C984" s="514">
        <v>0</v>
      </c>
      <c r="D984" s="514">
        <v>0</v>
      </c>
      <c r="E984" s="514">
        <v>0</v>
      </c>
      <c r="F984" s="514">
        <v>0</v>
      </c>
      <c r="G984" s="514">
        <v>0</v>
      </c>
      <c r="H984" s="514">
        <v>0</v>
      </c>
      <c r="I984" s="514">
        <v>0</v>
      </c>
      <c r="J984" s="514">
        <v>0</v>
      </c>
      <c r="K984" s="514">
        <v>0</v>
      </c>
      <c r="L984" s="514">
        <v>0</v>
      </c>
      <c r="M984" s="514">
        <v>0</v>
      </c>
      <c r="N984" s="514">
        <v>0</v>
      </c>
      <c r="O984" s="499"/>
      <c r="P984" s="499"/>
      <c r="Q984" s="499"/>
    </row>
    <row r="985" spans="1:17" ht="14.4" x14ac:dyDescent="0.3">
      <c r="A985" s="502">
        <v>2282120</v>
      </c>
      <c r="B985" s="503" t="s">
        <v>2773</v>
      </c>
      <c r="C985" s="514">
        <v>0</v>
      </c>
      <c r="D985" s="514">
        <v>0</v>
      </c>
      <c r="E985" s="514">
        <v>0</v>
      </c>
      <c r="F985" s="514">
        <v>0</v>
      </c>
      <c r="G985" s="514">
        <v>0</v>
      </c>
      <c r="H985" s="514">
        <v>0</v>
      </c>
      <c r="I985" s="514">
        <v>0</v>
      </c>
      <c r="J985" s="514">
        <v>0</v>
      </c>
      <c r="K985" s="514">
        <v>0</v>
      </c>
      <c r="L985" s="514">
        <v>0</v>
      </c>
      <c r="M985" s="514">
        <v>0</v>
      </c>
      <c r="N985" s="514">
        <v>0</v>
      </c>
      <c r="O985" s="499"/>
      <c r="P985" s="499"/>
      <c r="Q985" s="499"/>
    </row>
    <row r="986" spans="1:17" ht="14.4" x14ac:dyDescent="0.3">
      <c r="A986" s="502">
        <v>2282210</v>
      </c>
      <c r="B986" s="503" t="s">
        <v>2774</v>
      </c>
      <c r="C986" s="514">
        <v>557569</v>
      </c>
      <c r="D986" s="514">
        <v>557569</v>
      </c>
      <c r="E986" s="514">
        <v>557569</v>
      </c>
      <c r="F986" s="514">
        <v>557569</v>
      </c>
      <c r="G986" s="514">
        <v>557569</v>
      </c>
      <c r="H986" s="514">
        <v>557569</v>
      </c>
      <c r="I986" s="514">
        <v>557569</v>
      </c>
      <c r="J986" s="514">
        <v>557569</v>
      </c>
      <c r="K986" s="514">
        <v>557569</v>
      </c>
      <c r="L986" s="514">
        <v>557569</v>
      </c>
      <c r="M986" s="514">
        <v>557569</v>
      </c>
      <c r="N986" s="514">
        <v>557569</v>
      </c>
      <c r="O986" s="499"/>
      <c r="P986" s="499"/>
      <c r="Q986" s="499"/>
    </row>
    <row r="987" spans="1:17" ht="14.4" x14ac:dyDescent="0.3">
      <c r="A987" s="502">
        <v>2282220</v>
      </c>
      <c r="B987" s="503" t="s">
        <v>2775</v>
      </c>
      <c r="C987" s="514">
        <v>0</v>
      </c>
      <c r="D987" s="514">
        <v>0</v>
      </c>
      <c r="E987" s="514">
        <v>0</v>
      </c>
      <c r="F987" s="514">
        <v>0</v>
      </c>
      <c r="G987" s="514">
        <v>0</v>
      </c>
      <c r="H987" s="514">
        <v>0</v>
      </c>
      <c r="I987" s="514">
        <v>0</v>
      </c>
      <c r="J987" s="514">
        <v>0</v>
      </c>
      <c r="K987" s="514">
        <v>0</v>
      </c>
      <c r="L987" s="514">
        <v>0</v>
      </c>
      <c r="M987" s="514">
        <v>0</v>
      </c>
      <c r="N987" s="514">
        <v>0</v>
      </c>
      <c r="O987" s="499"/>
      <c r="P987" s="499"/>
      <c r="Q987" s="499"/>
    </row>
    <row r="988" spans="1:17" ht="14.4" x14ac:dyDescent="0.3">
      <c r="A988" s="502">
        <v>2283200</v>
      </c>
      <c r="B988" s="503" t="s">
        <v>2776</v>
      </c>
      <c r="C988" s="514">
        <v>0</v>
      </c>
      <c r="D988" s="514">
        <v>0</v>
      </c>
      <c r="E988" s="514">
        <v>0</v>
      </c>
      <c r="F988" s="514">
        <v>0</v>
      </c>
      <c r="G988" s="514">
        <v>0</v>
      </c>
      <c r="H988" s="514">
        <v>0</v>
      </c>
      <c r="I988" s="514">
        <v>0</v>
      </c>
      <c r="J988" s="514">
        <v>0</v>
      </c>
      <c r="K988" s="514">
        <v>0</v>
      </c>
      <c r="L988" s="514">
        <v>0</v>
      </c>
      <c r="M988" s="514">
        <v>0</v>
      </c>
      <c r="N988" s="514">
        <v>0</v>
      </c>
      <c r="O988" s="499"/>
      <c r="P988" s="499"/>
      <c r="Q988" s="499"/>
    </row>
    <row r="989" spans="1:17" ht="14.4" x14ac:dyDescent="0.3">
      <c r="A989" s="502">
        <v>2283201</v>
      </c>
      <c r="B989" s="503" t="s">
        <v>2777</v>
      </c>
      <c r="C989" s="514">
        <v>0</v>
      </c>
      <c r="D989" s="514">
        <v>0</v>
      </c>
      <c r="E989" s="514">
        <v>0</v>
      </c>
      <c r="F989" s="514">
        <v>0</v>
      </c>
      <c r="G989" s="514">
        <v>0</v>
      </c>
      <c r="H989" s="514">
        <v>0</v>
      </c>
      <c r="I989" s="514">
        <v>0</v>
      </c>
      <c r="J989" s="514">
        <v>0</v>
      </c>
      <c r="K989" s="514">
        <v>0</v>
      </c>
      <c r="L989" s="514">
        <v>0</v>
      </c>
      <c r="M989" s="514">
        <v>0</v>
      </c>
      <c r="N989" s="514">
        <v>0</v>
      </c>
      <c r="O989" s="499"/>
      <c r="P989" s="499"/>
      <c r="Q989" s="499"/>
    </row>
    <row r="990" spans="1:17" ht="14.4" x14ac:dyDescent="0.3">
      <c r="A990" s="502">
        <v>2283202</v>
      </c>
      <c r="B990" s="503" t="s">
        <v>2778</v>
      </c>
      <c r="C990" s="514">
        <v>229974898</v>
      </c>
      <c r="D990" s="514">
        <v>229974898</v>
      </c>
      <c r="E990" s="514">
        <v>229670551</v>
      </c>
      <c r="F990" s="514">
        <v>232131551</v>
      </c>
      <c r="G990" s="514">
        <v>232131551</v>
      </c>
      <c r="H990" s="514">
        <v>231827204</v>
      </c>
      <c r="I990" s="514">
        <v>234288204</v>
      </c>
      <c r="J990" s="514">
        <v>234288204</v>
      </c>
      <c r="K990" s="514">
        <v>236444857</v>
      </c>
      <c r="L990" s="514">
        <v>236444857</v>
      </c>
      <c r="M990" s="514">
        <v>236444857</v>
      </c>
      <c r="N990" s="514">
        <v>236140511</v>
      </c>
      <c r="O990" s="499"/>
      <c r="P990" s="499"/>
      <c r="Q990" s="499"/>
    </row>
    <row r="991" spans="1:17" ht="14.4" x14ac:dyDescent="0.3">
      <c r="A991" s="502">
        <v>2283203</v>
      </c>
      <c r="B991" s="503" t="s">
        <v>2779</v>
      </c>
      <c r="C991" s="514">
        <v>206812780</v>
      </c>
      <c r="D991" s="514">
        <v>206812780</v>
      </c>
      <c r="E991" s="514">
        <v>206812780</v>
      </c>
      <c r="F991" s="514">
        <v>206812780</v>
      </c>
      <c r="G991" s="514">
        <v>206812780</v>
      </c>
      <c r="H991" s="514">
        <v>206812780</v>
      </c>
      <c r="I991" s="514">
        <v>206812780</v>
      </c>
      <c r="J991" s="514">
        <v>206812780</v>
      </c>
      <c r="K991" s="514">
        <v>206812780</v>
      </c>
      <c r="L991" s="514">
        <v>206812780</v>
      </c>
      <c r="M991" s="514">
        <v>206812780</v>
      </c>
      <c r="N991" s="514">
        <v>206812780</v>
      </c>
      <c r="O991" s="499"/>
      <c r="P991" s="499"/>
      <c r="Q991" s="499"/>
    </row>
    <row r="992" spans="1:17" ht="14.4" x14ac:dyDescent="0.3">
      <c r="A992" s="502">
        <v>2283210</v>
      </c>
      <c r="B992" s="503" t="s">
        <v>2780</v>
      </c>
      <c r="C992" s="514">
        <v>416815</v>
      </c>
      <c r="D992" s="514">
        <v>416815</v>
      </c>
      <c r="E992" s="514">
        <v>314519</v>
      </c>
      <c r="F992" s="514">
        <v>314519</v>
      </c>
      <c r="G992" s="514">
        <v>314519</v>
      </c>
      <c r="H992" s="514">
        <v>212223</v>
      </c>
      <c r="I992" s="514">
        <v>212223</v>
      </c>
      <c r="J992" s="514">
        <v>212223</v>
      </c>
      <c r="K992" s="514">
        <v>109927</v>
      </c>
      <c r="L992" s="514">
        <v>109927</v>
      </c>
      <c r="M992" s="514">
        <v>109927</v>
      </c>
      <c r="N992" s="514">
        <v>7631</v>
      </c>
      <c r="O992" s="499"/>
      <c r="P992" s="499"/>
      <c r="Q992" s="499"/>
    </row>
    <row r="993" spans="1:17" ht="14.4" x14ac:dyDescent="0.3">
      <c r="A993" s="502">
        <v>2283211</v>
      </c>
      <c r="B993" s="503" t="s">
        <v>2781</v>
      </c>
      <c r="C993" s="514">
        <v>3974365</v>
      </c>
      <c r="D993" s="514">
        <v>3974365</v>
      </c>
      <c r="E993" s="514">
        <v>3974365</v>
      </c>
      <c r="F993" s="514">
        <v>3974365</v>
      </c>
      <c r="G993" s="514">
        <v>3974365</v>
      </c>
      <c r="H993" s="514">
        <v>3974365</v>
      </c>
      <c r="I993" s="514">
        <v>3974365</v>
      </c>
      <c r="J993" s="514">
        <v>3974365</v>
      </c>
      <c r="K993" s="514">
        <v>3974365</v>
      </c>
      <c r="L993" s="514">
        <v>3974365</v>
      </c>
      <c r="M993" s="514">
        <v>3974365</v>
      </c>
      <c r="N993" s="514">
        <v>3974365</v>
      </c>
      <c r="O993" s="499"/>
      <c r="P993" s="499"/>
      <c r="Q993" s="499"/>
    </row>
    <row r="994" spans="1:17" ht="14.4" x14ac:dyDescent="0.3">
      <c r="A994" s="502">
        <v>2283220</v>
      </c>
      <c r="B994" s="503" t="s">
        <v>2782</v>
      </c>
      <c r="C994" s="514">
        <v>2362648</v>
      </c>
      <c r="D994" s="514">
        <v>2362648</v>
      </c>
      <c r="E994" s="514">
        <v>2362648</v>
      </c>
      <c r="F994" s="514">
        <v>2395060</v>
      </c>
      <c r="G994" s="514">
        <v>2395060</v>
      </c>
      <c r="H994" s="514">
        <v>2395060</v>
      </c>
      <c r="I994" s="514">
        <v>2427472</v>
      </c>
      <c r="J994" s="514">
        <v>2427472</v>
      </c>
      <c r="K994" s="514">
        <v>2427472</v>
      </c>
      <c r="L994" s="514">
        <v>2459885</v>
      </c>
      <c r="M994" s="514">
        <v>2459885</v>
      </c>
      <c r="N994" s="514">
        <v>2459885</v>
      </c>
      <c r="O994" s="499"/>
      <c r="P994" s="499"/>
      <c r="Q994" s="499"/>
    </row>
    <row r="995" spans="1:17" ht="14.4" x14ac:dyDescent="0.3">
      <c r="A995" s="502">
        <v>2283221</v>
      </c>
      <c r="B995" s="503" t="s">
        <v>2783</v>
      </c>
      <c r="C995" s="514">
        <v>1302253</v>
      </c>
      <c r="D995" s="514">
        <v>1302253</v>
      </c>
      <c r="E995" s="514">
        <v>1302253</v>
      </c>
      <c r="F995" s="514">
        <v>1302253</v>
      </c>
      <c r="G995" s="514">
        <v>1302253</v>
      </c>
      <c r="H995" s="514">
        <v>1302253</v>
      </c>
      <c r="I995" s="514">
        <v>1302253</v>
      </c>
      <c r="J995" s="514">
        <v>1302253</v>
      </c>
      <c r="K995" s="514">
        <v>1302253</v>
      </c>
      <c r="L995" s="514">
        <v>1302253</v>
      </c>
      <c r="M995" s="514">
        <v>1302253</v>
      </c>
      <c r="N995" s="514">
        <v>1302253</v>
      </c>
      <c r="O995" s="499"/>
      <c r="P995" s="499"/>
      <c r="Q995" s="499"/>
    </row>
    <row r="996" spans="1:17" ht="14.4" x14ac:dyDescent="0.3">
      <c r="A996" s="502">
        <v>2283230</v>
      </c>
      <c r="B996" s="503" t="s">
        <v>2784</v>
      </c>
      <c r="C996" s="514">
        <v>0</v>
      </c>
      <c r="D996" s="514">
        <v>0</v>
      </c>
      <c r="E996" s="514">
        <v>0</v>
      </c>
      <c r="F996" s="514">
        <v>0</v>
      </c>
      <c r="G996" s="514">
        <v>0</v>
      </c>
      <c r="H996" s="514">
        <v>0</v>
      </c>
      <c r="I996" s="514">
        <v>0</v>
      </c>
      <c r="J996" s="514">
        <v>0</v>
      </c>
      <c r="K996" s="514">
        <v>0</v>
      </c>
      <c r="L996" s="514">
        <v>0</v>
      </c>
      <c r="M996" s="514">
        <v>0</v>
      </c>
      <c r="N996" s="514">
        <v>0</v>
      </c>
      <c r="O996" s="499"/>
      <c r="P996" s="499"/>
      <c r="Q996" s="499"/>
    </row>
    <row r="997" spans="1:17" ht="14.4" x14ac:dyDescent="0.3">
      <c r="A997" s="502">
        <v>2283231</v>
      </c>
      <c r="B997" s="503" t="s">
        <v>2785</v>
      </c>
      <c r="C997" s="514">
        <v>20458580</v>
      </c>
      <c r="D997" s="514">
        <v>20458580</v>
      </c>
      <c r="E997" s="514">
        <v>20458580</v>
      </c>
      <c r="F997" s="514">
        <v>20458580</v>
      </c>
      <c r="G997" s="514">
        <v>20458580</v>
      </c>
      <c r="H997" s="514">
        <v>20458580</v>
      </c>
      <c r="I997" s="514">
        <v>20458580</v>
      </c>
      <c r="J997" s="514">
        <v>20458580</v>
      </c>
      <c r="K997" s="514">
        <v>20458580</v>
      </c>
      <c r="L997" s="514">
        <v>20458580</v>
      </c>
      <c r="M997" s="514">
        <v>20458580</v>
      </c>
      <c r="N997" s="514">
        <v>20458580</v>
      </c>
      <c r="O997" s="499"/>
      <c r="P997" s="499"/>
      <c r="Q997" s="499"/>
    </row>
    <row r="998" spans="1:17" ht="14.4" x14ac:dyDescent="0.3">
      <c r="A998" s="502">
        <v>2283232</v>
      </c>
      <c r="B998" s="503" t="s">
        <v>2786</v>
      </c>
      <c r="C998" s="514">
        <v>75770190.409999996</v>
      </c>
      <c r="D998" s="514">
        <v>74904190.409999996</v>
      </c>
      <c r="E998" s="514">
        <v>75386288.409999996</v>
      </c>
      <c r="F998" s="514">
        <v>74520288.409999996</v>
      </c>
      <c r="G998" s="514">
        <v>73654288.409999996</v>
      </c>
      <c r="H998" s="514">
        <v>74136386.409999996</v>
      </c>
      <c r="I998" s="514">
        <v>73270386.409999996</v>
      </c>
      <c r="J998" s="514">
        <v>72404386.409999996</v>
      </c>
      <c r="K998" s="514">
        <v>72886484.409999996</v>
      </c>
      <c r="L998" s="514">
        <v>72020484.409999996</v>
      </c>
      <c r="M998" s="514">
        <v>71154484.409999996</v>
      </c>
      <c r="N998" s="514">
        <v>71636582.409999996</v>
      </c>
      <c r="O998" s="499"/>
      <c r="P998" s="499"/>
      <c r="Q998" s="499"/>
    </row>
    <row r="999" spans="1:17" ht="14.4" x14ac:dyDescent="0.3">
      <c r="A999" s="502">
        <v>2283233</v>
      </c>
      <c r="B999" s="503" t="s">
        <v>2787</v>
      </c>
      <c r="C999" s="514">
        <v>0</v>
      </c>
      <c r="D999" s="514">
        <v>0</v>
      </c>
      <c r="E999" s="514">
        <v>0</v>
      </c>
      <c r="F999" s="514">
        <v>0</v>
      </c>
      <c r="G999" s="514">
        <v>0</v>
      </c>
      <c r="H999" s="514">
        <v>0</v>
      </c>
      <c r="I999" s="514">
        <v>0</v>
      </c>
      <c r="J999" s="514">
        <v>0</v>
      </c>
      <c r="K999" s="514">
        <v>0</v>
      </c>
      <c r="L999" s="514">
        <v>0</v>
      </c>
      <c r="M999" s="514">
        <v>0</v>
      </c>
      <c r="N999" s="514">
        <v>0</v>
      </c>
      <c r="O999" s="499"/>
      <c r="P999" s="499"/>
      <c r="Q999" s="499"/>
    </row>
    <row r="1000" spans="1:17" ht="14.4" x14ac:dyDescent="0.3">
      <c r="A1000" s="502">
        <v>2283240</v>
      </c>
      <c r="B1000" s="503" t="s">
        <v>2788</v>
      </c>
      <c r="C1000" s="514">
        <v>9534874</v>
      </c>
      <c r="D1000" s="514">
        <v>9926541</v>
      </c>
      <c r="E1000" s="514">
        <v>9768208</v>
      </c>
      <c r="F1000" s="514">
        <v>9809874</v>
      </c>
      <c r="G1000" s="514">
        <v>9651541</v>
      </c>
      <c r="H1000" s="514">
        <v>9718208</v>
      </c>
      <c r="I1000" s="514">
        <v>9559874</v>
      </c>
      <c r="J1000" s="514">
        <v>9601541</v>
      </c>
      <c r="K1000" s="514">
        <v>9143208</v>
      </c>
      <c r="L1000" s="514">
        <v>9209874</v>
      </c>
      <c r="M1000" s="514">
        <v>9051541</v>
      </c>
      <c r="N1000" s="514">
        <v>8993208</v>
      </c>
      <c r="O1000" s="499"/>
      <c r="P1000" s="499"/>
      <c r="Q1000" s="499"/>
    </row>
    <row r="1001" spans="1:17" ht="14.4" x14ac:dyDescent="0.3">
      <c r="A1001" s="502">
        <v>2284000</v>
      </c>
      <c r="B1001" s="503" t="s">
        <v>2789</v>
      </c>
      <c r="C1001" s="514">
        <v>0</v>
      </c>
      <c r="D1001" s="514">
        <v>0</v>
      </c>
      <c r="E1001" s="514">
        <v>0</v>
      </c>
      <c r="F1001" s="514">
        <v>0</v>
      </c>
      <c r="G1001" s="514">
        <v>0</v>
      </c>
      <c r="H1001" s="514">
        <v>0</v>
      </c>
      <c r="I1001" s="514">
        <v>0</v>
      </c>
      <c r="J1001" s="514">
        <v>0</v>
      </c>
      <c r="K1001" s="514">
        <v>0</v>
      </c>
      <c r="L1001" s="514">
        <v>0</v>
      </c>
      <c r="M1001" s="514">
        <v>0</v>
      </c>
      <c r="N1001" s="514">
        <v>0</v>
      </c>
      <c r="O1001" s="499"/>
      <c r="P1001" s="499"/>
      <c r="Q1001" s="499"/>
    </row>
    <row r="1002" spans="1:17" ht="14.4" x14ac:dyDescent="0.3">
      <c r="A1002" s="502">
        <v>2284010</v>
      </c>
      <c r="B1002" s="503" t="s">
        <v>2790</v>
      </c>
      <c r="C1002" s="514">
        <v>0</v>
      </c>
      <c r="D1002" s="514">
        <v>0</v>
      </c>
      <c r="E1002" s="514">
        <v>0</v>
      </c>
      <c r="F1002" s="514">
        <v>0</v>
      </c>
      <c r="G1002" s="514">
        <v>0</v>
      </c>
      <c r="H1002" s="514">
        <v>0</v>
      </c>
      <c r="I1002" s="514">
        <v>0</v>
      </c>
      <c r="J1002" s="514">
        <v>0</v>
      </c>
      <c r="K1002" s="514">
        <v>0</v>
      </c>
      <c r="L1002" s="514">
        <v>0</v>
      </c>
      <c r="M1002" s="514">
        <v>0</v>
      </c>
      <c r="N1002" s="514">
        <v>0</v>
      </c>
      <c r="O1002" s="499"/>
      <c r="P1002" s="499"/>
      <c r="Q1002" s="499"/>
    </row>
    <row r="1003" spans="1:17" ht="14.4" x14ac:dyDescent="0.3">
      <c r="A1003" s="502">
        <v>2284020</v>
      </c>
      <c r="B1003" s="503" t="s">
        <v>2791</v>
      </c>
      <c r="C1003" s="514">
        <v>0</v>
      </c>
      <c r="D1003" s="514">
        <v>0</v>
      </c>
      <c r="E1003" s="514">
        <v>0</v>
      </c>
      <c r="F1003" s="514">
        <v>0</v>
      </c>
      <c r="G1003" s="514">
        <v>0</v>
      </c>
      <c r="H1003" s="514">
        <v>0</v>
      </c>
      <c r="I1003" s="514">
        <v>0</v>
      </c>
      <c r="J1003" s="514">
        <v>0</v>
      </c>
      <c r="K1003" s="514">
        <v>0</v>
      </c>
      <c r="L1003" s="514">
        <v>0</v>
      </c>
      <c r="M1003" s="514">
        <v>0</v>
      </c>
      <c r="N1003" s="514">
        <v>0</v>
      </c>
      <c r="O1003" s="499"/>
      <c r="P1003" s="499"/>
      <c r="Q1003" s="499"/>
    </row>
    <row r="1004" spans="1:17" ht="14.4" x14ac:dyDescent="0.3">
      <c r="A1004" s="502">
        <v>2284030</v>
      </c>
      <c r="B1004" s="503" t="s">
        <v>2792</v>
      </c>
      <c r="C1004" s="514">
        <v>0</v>
      </c>
      <c r="D1004" s="514">
        <v>0</v>
      </c>
      <c r="E1004" s="514">
        <v>0</v>
      </c>
      <c r="F1004" s="514">
        <v>0</v>
      </c>
      <c r="G1004" s="514">
        <v>0</v>
      </c>
      <c r="H1004" s="514">
        <v>0</v>
      </c>
      <c r="I1004" s="514">
        <v>0</v>
      </c>
      <c r="J1004" s="514">
        <v>0</v>
      </c>
      <c r="K1004" s="514">
        <v>0</v>
      </c>
      <c r="L1004" s="514">
        <v>0</v>
      </c>
      <c r="M1004" s="514">
        <v>0</v>
      </c>
      <c r="N1004" s="514">
        <v>0</v>
      </c>
      <c r="O1004" s="499"/>
      <c r="P1004" s="499"/>
      <c r="Q1004" s="499"/>
    </row>
    <row r="1005" spans="1:17" ht="14.4" x14ac:dyDescent="0.3">
      <c r="A1005" s="502">
        <v>2284290</v>
      </c>
      <c r="B1005" s="503" t="s">
        <v>2793</v>
      </c>
      <c r="C1005" s="514">
        <v>0</v>
      </c>
      <c r="D1005" s="514">
        <v>0</v>
      </c>
      <c r="E1005" s="514">
        <v>0</v>
      </c>
      <c r="F1005" s="514">
        <v>0</v>
      </c>
      <c r="G1005" s="514">
        <v>0</v>
      </c>
      <c r="H1005" s="514">
        <v>0</v>
      </c>
      <c r="I1005" s="514">
        <v>0</v>
      </c>
      <c r="J1005" s="514">
        <v>0</v>
      </c>
      <c r="K1005" s="514">
        <v>0</v>
      </c>
      <c r="L1005" s="514">
        <v>0</v>
      </c>
      <c r="M1005" s="514">
        <v>0</v>
      </c>
      <c r="N1005" s="514">
        <v>0</v>
      </c>
      <c r="O1005" s="499"/>
      <c r="P1005" s="499"/>
      <c r="Q1005" s="499"/>
    </row>
    <row r="1006" spans="1:17" ht="14.4" x14ac:dyDescent="0.3">
      <c r="A1006" s="502">
        <v>2290000</v>
      </c>
      <c r="B1006" s="503" t="s">
        <v>2794</v>
      </c>
      <c r="C1006" s="514">
        <v>0</v>
      </c>
      <c r="D1006" s="514">
        <v>0</v>
      </c>
      <c r="E1006" s="514">
        <v>0</v>
      </c>
      <c r="F1006" s="514">
        <v>0</v>
      </c>
      <c r="G1006" s="514">
        <v>0</v>
      </c>
      <c r="H1006" s="514">
        <v>0</v>
      </c>
      <c r="I1006" s="514">
        <v>0</v>
      </c>
      <c r="J1006" s="514">
        <v>0</v>
      </c>
      <c r="K1006" s="514">
        <v>0</v>
      </c>
      <c r="L1006" s="514">
        <v>0</v>
      </c>
      <c r="M1006" s="514">
        <v>0</v>
      </c>
      <c r="N1006" s="514">
        <v>0</v>
      </c>
      <c r="O1006" s="499"/>
      <c r="P1006" s="499"/>
      <c r="Q1006" s="499"/>
    </row>
    <row r="1007" spans="1:17" ht="14.4" x14ac:dyDescent="0.3">
      <c r="A1007" s="502">
        <v>2300100</v>
      </c>
      <c r="B1007" s="503" t="s">
        <v>2795</v>
      </c>
      <c r="C1007" s="514">
        <v>0</v>
      </c>
      <c r="D1007" s="514">
        <v>0</v>
      </c>
      <c r="E1007" s="514">
        <v>0</v>
      </c>
      <c r="F1007" s="514">
        <v>0</v>
      </c>
      <c r="G1007" s="514">
        <v>0</v>
      </c>
      <c r="H1007" s="514">
        <v>0</v>
      </c>
      <c r="I1007" s="514">
        <v>0</v>
      </c>
      <c r="J1007" s="514">
        <v>0</v>
      </c>
      <c r="K1007" s="514">
        <v>0</v>
      </c>
      <c r="L1007" s="514">
        <v>0</v>
      </c>
      <c r="M1007" s="514">
        <v>0</v>
      </c>
      <c r="N1007" s="514">
        <v>0</v>
      </c>
      <c r="O1007" s="499"/>
      <c r="P1007" s="499"/>
      <c r="Q1007" s="499"/>
    </row>
    <row r="1008" spans="1:17" ht="14.4" x14ac:dyDescent="0.3">
      <c r="A1008" s="502">
        <v>2300200</v>
      </c>
      <c r="B1008" s="503" t="s">
        <v>2796</v>
      </c>
      <c r="C1008" s="514">
        <v>35513661.659999996</v>
      </c>
      <c r="D1008" s="514">
        <v>35661635.25</v>
      </c>
      <c r="E1008" s="514">
        <v>35810225.399999999</v>
      </c>
      <c r="F1008" s="514">
        <v>35959434.670000002</v>
      </c>
      <c r="G1008" s="514">
        <v>36109265.649999999</v>
      </c>
      <c r="H1008" s="514">
        <v>36259720.920000002</v>
      </c>
      <c r="I1008" s="514">
        <v>36410803.090000004</v>
      </c>
      <c r="J1008" s="514">
        <v>36562514.770000003</v>
      </c>
      <c r="K1008" s="514">
        <v>36714858.579999998</v>
      </c>
      <c r="L1008" s="514">
        <v>36867837.159999996</v>
      </c>
      <c r="M1008" s="514">
        <v>37021453.149999999</v>
      </c>
      <c r="N1008" s="514">
        <v>37175709.200000003</v>
      </c>
      <c r="O1008" s="499"/>
      <c r="P1008" s="499"/>
      <c r="Q1008" s="499"/>
    </row>
    <row r="1009" spans="1:17" ht="14.4" x14ac:dyDescent="0.3">
      <c r="A1009" s="502">
        <v>2310000</v>
      </c>
      <c r="B1009" s="503" t="s">
        <v>2797</v>
      </c>
      <c r="C1009" s="514">
        <v>415154005.55000001</v>
      </c>
      <c r="D1009" s="514">
        <v>430687631.17000002</v>
      </c>
      <c r="E1009" s="514">
        <v>518555501.93000001</v>
      </c>
      <c r="F1009" s="514">
        <v>582299418.90999997</v>
      </c>
      <c r="G1009" s="514">
        <v>569556429.40999997</v>
      </c>
      <c r="H1009" s="514">
        <v>622727652.45000005</v>
      </c>
      <c r="I1009" s="514">
        <v>695517533.88</v>
      </c>
      <c r="J1009" s="514">
        <v>678990641.27999997</v>
      </c>
      <c r="K1009" s="514">
        <v>680295224.95000005</v>
      </c>
      <c r="L1009" s="514">
        <v>641835281.40999997</v>
      </c>
      <c r="M1009" s="514">
        <v>367020665.16000003</v>
      </c>
      <c r="N1009" s="514">
        <v>424950390.92000002</v>
      </c>
      <c r="O1009" s="499"/>
      <c r="P1009" s="499"/>
      <c r="Q1009" s="499"/>
    </row>
    <row r="1010" spans="1:17" ht="14.4" x14ac:dyDescent="0.3">
      <c r="A1010" s="502">
        <v>2310200</v>
      </c>
      <c r="B1010" s="503" t="s">
        <v>2798</v>
      </c>
      <c r="C1010" s="514">
        <v>0</v>
      </c>
      <c r="D1010" s="514">
        <v>0</v>
      </c>
      <c r="E1010" s="514">
        <v>0</v>
      </c>
      <c r="F1010" s="514">
        <v>0</v>
      </c>
      <c r="G1010" s="514">
        <v>0</v>
      </c>
      <c r="H1010" s="514">
        <v>0</v>
      </c>
      <c r="I1010" s="514">
        <v>0</v>
      </c>
      <c r="J1010" s="514">
        <v>0</v>
      </c>
      <c r="K1010" s="514">
        <v>0</v>
      </c>
      <c r="L1010" s="514">
        <v>0</v>
      </c>
      <c r="M1010" s="514">
        <v>0</v>
      </c>
      <c r="N1010" s="514">
        <v>0</v>
      </c>
      <c r="O1010" s="499"/>
      <c r="P1010" s="499"/>
      <c r="Q1010" s="499"/>
    </row>
    <row r="1011" spans="1:17" ht="14.4" x14ac:dyDescent="0.3">
      <c r="A1011" s="502">
        <v>2320000</v>
      </c>
      <c r="B1011" s="503" t="s">
        <v>2799</v>
      </c>
      <c r="C1011" s="514">
        <v>50000000</v>
      </c>
      <c r="D1011" s="514">
        <v>50000000</v>
      </c>
      <c r="E1011" s="514">
        <v>50000000</v>
      </c>
      <c r="F1011" s="514">
        <v>50000000</v>
      </c>
      <c r="G1011" s="514">
        <v>50000000</v>
      </c>
      <c r="H1011" s="514">
        <v>50000000</v>
      </c>
      <c r="I1011" s="514">
        <v>50000000</v>
      </c>
      <c r="J1011" s="514">
        <v>50000000</v>
      </c>
      <c r="K1011" s="514">
        <v>50000000</v>
      </c>
      <c r="L1011" s="514">
        <v>50000000</v>
      </c>
      <c r="M1011" s="514">
        <v>50000000</v>
      </c>
      <c r="N1011" s="514">
        <v>50000000</v>
      </c>
      <c r="O1011" s="499"/>
      <c r="P1011" s="499"/>
      <c r="Q1011" s="499"/>
    </row>
    <row r="1012" spans="1:17" ht="14.4" x14ac:dyDescent="0.3">
      <c r="A1012" s="502">
        <v>2320001</v>
      </c>
      <c r="B1012" s="503" t="s">
        <v>2800</v>
      </c>
      <c r="C1012" s="514">
        <v>159696239.05000001</v>
      </c>
      <c r="D1012" s="514">
        <v>118039657.42</v>
      </c>
      <c r="E1012" s="514">
        <v>120211127.11</v>
      </c>
      <c r="F1012" s="514">
        <v>115595284.79000001</v>
      </c>
      <c r="G1012" s="514">
        <v>102892679.29000001</v>
      </c>
      <c r="H1012" s="514">
        <v>166170386.69</v>
      </c>
      <c r="I1012" s="514">
        <v>148484293.16999999</v>
      </c>
      <c r="J1012" s="514">
        <v>88543790.040000007</v>
      </c>
      <c r="K1012" s="514">
        <v>93017665.400000006</v>
      </c>
      <c r="L1012" s="514">
        <v>90790308.819999993</v>
      </c>
      <c r="M1012" s="514">
        <v>76643228.450000003</v>
      </c>
      <c r="N1012" s="514">
        <v>69231209.560000002</v>
      </c>
      <c r="O1012" s="499"/>
      <c r="P1012" s="499"/>
      <c r="Q1012" s="499"/>
    </row>
    <row r="1013" spans="1:17" ht="14.4" x14ac:dyDescent="0.3">
      <c r="A1013" s="502">
        <v>2320002</v>
      </c>
      <c r="B1013" s="503" t="s">
        <v>2801</v>
      </c>
      <c r="C1013" s="514">
        <v>15000000</v>
      </c>
      <c r="D1013" s="514">
        <v>15000000</v>
      </c>
      <c r="E1013" s="514">
        <v>15000000</v>
      </c>
      <c r="F1013" s="514">
        <v>15000000</v>
      </c>
      <c r="G1013" s="514">
        <v>15000000</v>
      </c>
      <c r="H1013" s="514">
        <v>15000000</v>
      </c>
      <c r="I1013" s="514">
        <v>15000000</v>
      </c>
      <c r="J1013" s="514">
        <v>15000000</v>
      </c>
      <c r="K1013" s="514">
        <v>15000000</v>
      </c>
      <c r="L1013" s="514">
        <v>15000000</v>
      </c>
      <c r="M1013" s="514">
        <v>15000000</v>
      </c>
      <c r="N1013" s="514">
        <v>15000000</v>
      </c>
      <c r="O1013" s="499"/>
      <c r="P1013" s="499"/>
      <c r="Q1013" s="499"/>
    </row>
    <row r="1014" spans="1:17" ht="14.4" x14ac:dyDescent="0.3">
      <c r="A1014" s="502">
        <v>2320003</v>
      </c>
      <c r="B1014" s="503" t="s">
        <v>2802</v>
      </c>
      <c r="C1014" s="514">
        <v>0</v>
      </c>
      <c r="D1014" s="514">
        <v>0</v>
      </c>
      <c r="E1014" s="514">
        <v>0</v>
      </c>
      <c r="F1014" s="514">
        <v>0</v>
      </c>
      <c r="G1014" s="514">
        <v>0</v>
      </c>
      <c r="H1014" s="514">
        <v>0</v>
      </c>
      <c r="I1014" s="514">
        <v>0</v>
      </c>
      <c r="J1014" s="514">
        <v>0</v>
      </c>
      <c r="K1014" s="514">
        <v>0</v>
      </c>
      <c r="L1014" s="514">
        <v>0</v>
      </c>
      <c r="M1014" s="514">
        <v>0</v>
      </c>
      <c r="N1014" s="514">
        <v>0</v>
      </c>
      <c r="O1014" s="499"/>
      <c r="P1014" s="499"/>
      <c r="Q1014" s="499"/>
    </row>
    <row r="1015" spans="1:17" ht="14.4" x14ac:dyDescent="0.3">
      <c r="A1015" s="502">
        <v>2320004</v>
      </c>
      <c r="B1015" s="503" t="s">
        <v>2803</v>
      </c>
      <c r="C1015" s="514">
        <v>0</v>
      </c>
      <c r="D1015" s="514">
        <v>0</v>
      </c>
      <c r="E1015" s="514">
        <v>0</v>
      </c>
      <c r="F1015" s="514">
        <v>0</v>
      </c>
      <c r="G1015" s="514">
        <v>0</v>
      </c>
      <c r="H1015" s="514">
        <v>0</v>
      </c>
      <c r="I1015" s="514">
        <v>0</v>
      </c>
      <c r="J1015" s="514">
        <v>0</v>
      </c>
      <c r="K1015" s="514">
        <v>0</v>
      </c>
      <c r="L1015" s="514">
        <v>0</v>
      </c>
      <c r="M1015" s="514">
        <v>0</v>
      </c>
      <c r="N1015" s="514">
        <v>0</v>
      </c>
      <c r="O1015" s="499"/>
      <c r="P1015" s="499"/>
      <c r="Q1015" s="499"/>
    </row>
    <row r="1016" spans="1:17" ht="14.4" x14ac:dyDescent="0.3">
      <c r="A1016" s="502">
        <v>2320005</v>
      </c>
      <c r="B1016" s="503" t="s">
        <v>2804</v>
      </c>
      <c r="C1016" s="514">
        <v>0</v>
      </c>
      <c r="D1016" s="514">
        <v>0</v>
      </c>
      <c r="E1016" s="514">
        <v>0</v>
      </c>
      <c r="F1016" s="514">
        <v>0</v>
      </c>
      <c r="G1016" s="514">
        <v>0</v>
      </c>
      <c r="H1016" s="514">
        <v>0</v>
      </c>
      <c r="I1016" s="514">
        <v>0</v>
      </c>
      <c r="J1016" s="514">
        <v>0</v>
      </c>
      <c r="K1016" s="514">
        <v>0</v>
      </c>
      <c r="L1016" s="514">
        <v>0</v>
      </c>
      <c r="M1016" s="514">
        <v>0</v>
      </c>
      <c r="N1016" s="514">
        <v>0</v>
      </c>
      <c r="O1016" s="499"/>
      <c r="P1016" s="499"/>
      <c r="Q1016" s="499"/>
    </row>
    <row r="1017" spans="1:17" ht="14.4" x14ac:dyDescent="0.3">
      <c r="A1017" s="502">
        <v>2320006</v>
      </c>
      <c r="B1017" s="503" t="s">
        <v>2805</v>
      </c>
      <c r="C1017" s="514">
        <v>0</v>
      </c>
      <c r="D1017" s="514">
        <v>0</v>
      </c>
      <c r="E1017" s="514">
        <v>0</v>
      </c>
      <c r="F1017" s="514">
        <v>0</v>
      </c>
      <c r="G1017" s="514">
        <v>0</v>
      </c>
      <c r="H1017" s="514">
        <v>0</v>
      </c>
      <c r="I1017" s="514">
        <v>0</v>
      </c>
      <c r="J1017" s="514">
        <v>0</v>
      </c>
      <c r="K1017" s="514">
        <v>0</v>
      </c>
      <c r="L1017" s="514">
        <v>0</v>
      </c>
      <c r="M1017" s="514">
        <v>0</v>
      </c>
      <c r="N1017" s="514">
        <v>0</v>
      </c>
      <c r="O1017" s="499"/>
      <c r="P1017" s="499"/>
      <c r="Q1017" s="499"/>
    </row>
    <row r="1018" spans="1:17" ht="14.4" x14ac:dyDescent="0.3">
      <c r="A1018" s="502">
        <v>2320007</v>
      </c>
      <c r="B1018" s="503" t="s">
        <v>2806</v>
      </c>
      <c r="C1018" s="514">
        <v>10293842.68</v>
      </c>
      <c r="D1018" s="514">
        <v>10423302.359999999</v>
      </c>
      <c r="E1018" s="514">
        <v>791101.69</v>
      </c>
      <c r="F1018" s="514">
        <v>2603508.9300000002</v>
      </c>
      <c r="G1018" s="514">
        <v>5259932.62</v>
      </c>
      <c r="H1018" s="514">
        <v>6328794.21</v>
      </c>
      <c r="I1018" s="514">
        <v>9745957.1500000004</v>
      </c>
      <c r="J1018" s="514">
        <v>0</v>
      </c>
      <c r="K1018" s="514">
        <v>1674673.02</v>
      </c>
      <c r="L1018" s="514">
        <v>4454160.7300000004</v>
      </c>
      <c r="M1018" s="514">
        <v>5859590.8600000003</v>
      </c>
      <c r="N1018" s="514">
        <v>8508566.4100000001</v>
      </c>
      <c r="O1018" s="499"/>
      <c r="P1018" s="499"/>
      <c r="Q1018" s="499"/>
    </row>
    <row r="1019" spans="1:17" ht="14.4" x14ac:dyDescent="0.3">
      <c r="A1019" s="502">
        <v>2320008</v>
      </c>
      <c r="B1019" s="503" t="s">
        <v>2807</v>
      </c>
      <c r="C1019" s="514">
        <v>962000</v>
      </c>
      <c r="D1019" s="514">
        <v>1036000</v>
      </c>
      <c r="E1019" s="514">
        <v>222000</v>
      </c>
      <c r="F1019" s="514">
        <v>296000</v>
      </c>
      <c r="G1019" s="514">
        <v>370000</v>
      </c>
      <c r="H1019" s="514">
        <v>444000</v>
      </c>
      <c r="I1019" s="514">
        <v>518000</v>
      </c>
      <c r="J1019" s="514">
        <v>592000</v>
      </c>
      <c r="K1019" s="514">
        <v>666000</v>
      </c>
      <c r="L1019" s="514">
        <v>740000</v>
      </c>
      <c r="M1019" s="514">
        <v>814000</v>
      </c>
      <c r="N1019" s="514">
        <v>888000</v>
      </c>
      <c r="O1019" s="499"/>
      <c r="P1019" s="499"/>
      <c r="Q1019" s="499"/>
    </row>
    <row r="1020" spans="1:17" ht="14.4" x14ac:dyDescent="0.3">
      <c r="A1020" s="502">
        <v>2320009</v>
      </c>
      <c r="B1020" s="503" t="s">
        <v>2808</v>
      </c>
      <c r="C1020" s="514">
        <v>0</v>
      </c>
      <c r="D1020" s="514">
        <v>0</v>
      </c>
      <c r="E1020" s="514">
        <v>0</v>
      </c>
      <c r="F1020" s="514">
        <v>0</v>
      </c>
      <c r="G1020" s="514">
        <v>0</v>
      </c>
      <c r="H1020" s="514">
        <v>0</v>
      </c>
      <c r="I1020" s="514">
        <v>0</v>
      </c>
      <c r="J1020" s="514">
        <v>0</v>
      </c>
      <c r="K1020" s="514">
        <v>0</v>
      </c>
      <c r="L1020" s="514">
        <v>0</v>
      </c>
      <c r="M1020" s="514">
        <v>0</v>
      </c>
      <c r="N1020" s="514">
        <v>0</v>
      </c>
      <c r="O1020" s="499"/>
      <c r="P1020" s="499"/>
      <c r="Q1020" s="499"/>
    </row>
    <row r="1021" spans="1:17" ht="14.4" x14ac:dyDescent="0.3">
      <c r="A1021" s="502">
        <v>2320010</v>
      </c>
      <c r="B1021" s="503" t="s">
        <v>2809</v>
      </c>
      <c r="C1021" s="514">
        <v>0</v>
      </c>
      <c r="D1021" s="514">
        <v>0</v>
      </c>
      <c r="E1021" s="514">
        <v>0</v>
      </c>
      <c r="F1021" s="514">
        <v>0</v>
      </c>
      <c r="G1021" s="514">
        <v>0</v>
      </c>
      <c r="H1021" s="514">
        <v>0</v>
      </c>
      <c r="I1021" s="514">
        <v>0</v>
      </c>
      <c r="J1021" s="514">
        <v>0</v>
      </c>
      <c r="K1021" s="514">
        <v>0</v>
      </c>
      <c r="L1021" s="514">
        <v>0</v>
      </c>
      <c r="M1021" s="514">
        <v>0</v>
      </c>
      <c r="N1021" s="514">
        <v>0</v>
      </c>
      <c r="O1021" s="499"/>
      <c r="P1021" s="499"/>
      <c r="Q1021" s="499"/>
    </row>
    <row r="1022" spans="1:17" ht="14.4" x14ac:dyDescent="0.3">
      <c r="A1022" s="502">
        <v>2320011</v>
      </c>
      <c r="B1022" s="503" t="s">
        <v>2810</v>
      </c>
      <c r="C1022" s="514">
        <v>0</v>
      </c>
      <c r="D1022" s="514">
        <v>0</v>
      </c>
      <c r="E1022" s="514">
        <v>0</v>
      </c>
      <c r="F1022" s="514">
        <v>0</v>
      </c>
      <c r="G1022" s="514">
        <v>0</v>
      </c>
      <c r="H1022" s="514">
        <v>0</v>
      </c>
      <c r="I1022" s="514">
        <v>0</v>
      </c>
      <c r="J1022" s="514">
        <v>0</v>
      </c>
      <c r="K1022" s="514">
        <v>0</v>
      </c>
      <c r="L1022" s="514">
        <v>0</v>
      </c>
      <c r="M1022" s="514">
        <v>0</v>
      </c>
      <c r="N1022" s="514">
        <v>0</v>
      </c>
      <c r="O1022" s="499"/>
      <c r="P1022" s="499"/>
      <c r="Q1022" s="499"/>
    </row>
    <row r="1023" spans="1:17" ht="14.4" x14ac:dyDescent="0.3">
      <c r="A1023" s="502">
        <v>2320012</v>
      </c>
      <c r="B1023" s="503" t="s">
        <v>2811</v>
      </c>
      <c r="C1023" s="514">
        <v>29536000</v>
      </c>
      <c r="D1023" s="514">
        <v>31886000</v>
      </c>
      <c r="E1023" s="514">
        <v>7050000</v>
      </c>
      <c r="F1023" s="514">
        <v>9400000</v>
      </c>
      <c r="G1023" s="514">
        <v>11750000</v>
      </c>
      <c r="H1023" s="514">
        <v>14100000</v>
      </c>
      <c r="I1023" s="514">
        <v>16450000</v>
      </c>
      <c r="J1023" s="514">
        <v>18800000</v>
      </c>
      <c r="K1023" s="514">
        <v>21150000</v>
      </c>
      <c r="L1023" s="514">
        <v>23500000</v>
      </c>
      <c r="M1023" s="514">
        <v>25850000</v>
      </c>
      <c r="N1023" s="514">
        <v>28206000</v>
      </c>
      <c r="O1023" s="499"/>
      <c r="P1023" s="499"/>
      <c r="Q1023" s="499"/>
    </row>
    <row r="1024" spans="1:17" ht="14.4" x14ac:dyDescent="0.3">
      <c r="A1024" s="502">
        <v>2320013</v>
      </c>
      <c r="B1024" s="503" t="s">
        <v>2812</v>
      </c>
      <c r="C1024" s="514">
        <v>0</v>
      </c>
      <c r="D1024" s="514">
        <v>0</v>
      </c>
      <c r="E1024" s="514">
        <v>0</v>
      </c>
      <c r="F1024" s="514">
        <v>0</v>
      </c>
      <c r="G1024" s="514">
        <v>0</v>
      </c>
      <c r="H1024" s="514">
        <v>0</v>
      </c>
      <c r="I1024" s="514">
        <v>0</v>
      </c>
      <c r="J1024" s="514">
        <v>0</v>
      </c>
      <c r="K1024" s="514">
        <v>0</v>
      </c>
      <c r="L1024" s="514">
        <v>0</v>
      </c>
      <c r="M1024" s="514">
        <v>0</v>
      </c>
      <c r="N1024" s="514">
        <v>0</v>
      </c>
      <c r="O1024" s="499"/>
      <c r="P1024" s="499"/>
      <c r="Q1024" s="499"/>
    </row>
    <row r="1025" spans="1:17" ht="14.4" x14ac:dyDescent="0.3">
      <c r="A1025" s="502">
        <v>2320014</v>
      </c>
      <c r="B1025" s="503" t="s">
        <v>2813</v>
      </c>
      <c r="C1025" s="514">
        <v>0</v>
      </c>
      <c r="D1025" s="514">
        <v>0</v>
      </c>
      <c r="E1025" s="514">
        <v>0</v>
      </c>
      <c r="F1025" s="514">
        <v>0</v>
      </c>
      <c r="G1025" s="514">
        <v>0</v>
      </c>
      <c r="H1025" s="514">
        <v>0</v>
      </c>
      <c r="I1025" s="514">
        <v>0</v>
      </c>
      <c r="J1025" s="514">
        <v>0</v>
      </c>
      <c r="K1025" s="514">
        <v>0</v>
      </c>
      <c r="L1025" s="514">
        <v>0</v>
      </c>
      <c r="M1025" s="514">
        <v>0</v>
      </c>
      <c r="N1025" s="514">
        <v>0</v>
      </c>
      <c r="O1025" s="499"/>
      <c r="P1025" s="499"/>
      <c r="Q1025" s="499"/>
    </row>
    <row r="1026" spans="1:17" ht="14.4" x14ac:dyDescent="0.3">
      <c r="A1026" s="502">
        <v>2320015</v>
      </c>
      <c r="B1026" s="503" t="s">
        <v>2814</v>
      </c>
      <c r="C1026" s="514">
        <v>0</v>
      </c>
      <c r="D1026" s="514">
        <v>0</v>
      </c>
      <c r="E1026" s="514">
        <v>0</v>
      </c>
      <c r="F1026" s="514">
        <v>0</v>
      </c>
      <c r="G1026" s="514">
        <v>0</v>
      </c>
      <c r="H1026" s="514">
        <v>0</v>
      </c>
      <c r="I1026" s="514">
        <v>0</v>
      </c>
      <c r="J1026" s="514">
        <v>0</v>
      </c>
      <c r="K1026" s="514">
        <v>0</v>
      </c>
      <c r="L1026" s="514">
        <v>0</v>
      </c>
      <c r="M1026" s="514">
        <v>0</v>
      </c>
      <c r="N1026" s="514">
        <v>0</v>
      </c>
      <c r="O1026" s="499"/>
      <c r="P1026" s="499"/>
      <c r="Q1026" s="499"/>
    </row>
    <row r="1027" spans="1:17" ht="14.4" x14ac:dyDescent="0.3">
      <c r="A1027" s="502">
        <v>2320016</v>
      </c>
      <c r="B1027" s="503" t="s">
        <v>2815</v>
      </c>
      <c r="C1027" s="514">
        <v>0</v>
      </c>
      <c r="D1027" s="514">
        <v>0</v>
      </c>
      <c r="E1027" s="514">
        <v>0</v>
      </c>
      <c r="F1027" s="514">
        <v>0</v>
      </c>
      <c r="G1027" s="514">
        <v>0</v>
      </c>
      <c r="H1027" s="514">
        <v>0</v>
      </c>
      <c r="I1027" s="514">
        <v>0</v>
      </c>
      <c r="J1027" s="514">
        <v>0</v>
      </c>
      <c r="K1027" s="514">
        <v>0</v>
      </c>
      <c r="L1027" s="514">
        <v>0</v>
      </c>
      <c r="M1027" s="514">
        <v>0</v>
      </c>
      <c r="N1027" s="514">
        <v>0</v>
      </c>
      <c r="O1027" s="499"/>
      <c r="P1027" s="499"/>
      <c r="Q1027" s="499"/>
    </row>
    <row r="1028" spans="1:17" ht="14.4" x14ac:dyDescent="0.3">
      <c r="A1028" s="502">
        <v>2320017</v>
      </c>
      <c r="B1028" s="503" t="s">
        <v>2816</v>
      </c>
      <c r="C1028" s="514">
        <v>0</v>
      </c>
      <c r="D1028" s="514">
        <v>0</v>
      </c>
      <c r="E1028" s="514">
        <v>0</v>
      </c>
      <c r="F1028" s="514">
        <v>0</v>
      </c>
      <c r="G1028" s="514">
        <v>0</v>
      </c>
      <c r="H1028" s="514">
        <v>0</v>
      </c>
      <c r="I1028" s="514">
        <v>0</v>
      </c>
      <c r="J1028" s="514">
        <v>0</v>
      </c>
      <c r="K1028" s="514">
        <v>0</v>
      </c>
      <c r="L1028" s="514">
        <v>0</v>
      </c>
      <c r="M1028" s="514">
        <v>0</v>
      </c>
      <c r="N1028" s="514">
        <v>0</v>
      </c>
      <c r="O1028" s="499"/>
      <c r="P1028" s="499"/>
      <c r="Q1028" s="499"/>
    </row>
    <row r="1029" spans="1:17" ht="14.4" x14ac:dyDescent="0.3">
      <c r="A1029" s="502">
        <v>2320018</v>
      </c>
      <c r="B1029" s="503" t="s">
        <v>2817</v>
      </c>
      <c r="C1029" s="514">
        <v>0</v>
      </c>
      <c r="D1029" s="514">
        <v>0</v>
      </c>
      <c r="E1029" s="514">
        <v>0</v>
      </c>
      <c r="F1029" s="514">
        <v>0</v>
      </c>
      <c r="G1029" s="514">
        <v>0</v>
      </c>
      <c r="H1029" s="514">
        <v>0</v>
      </c>
      <c r="I1029" s="514">
        <v>0</v>
      </c>
      <c r="J1029" s="514">
        <v>0</v>
      </c>
      <c r="K1029" s="514">
        <v>0</v>
      </c>
      <c r="L1029" s="514">
        <v>0</v>
      </c>
      <c r="M1029" s="514">
        <v>0</v>
      </c>
      <c r="N1029" s="514">
        <v>0</v>
      </c>
      <c r="O1029" s="499"/>
      <c r="P1029" s="499"/>
      <c r="Q1029" s="499"/>
    </row>
    <row r="1030" spans="1:17" ht="14.4" x14ac:dyDescent="0.3">
      <c r="A1030" s="502">
        <v>2320019</v>
      </c>
      <c r="B1030" s="503" t="s">
        <v>2818</v>
      </c>
      <c r="C1030" s="514">
        <v>0</v>
      </c>
      <c r="D1030" s="514">
        <v>0</v>
      </c>
      <c r="E1030" s="514">
        <v>0</v>
      </c>
      <c r="F1030" s="514">
        <v>0</v>
      </c>
      <c r="G1030" s="514">
        <v>0</v>
      </c>
      <c r="H1030" s="514">
        <v>0</v>
      </c>
      <c r="I1030" s="514">
        <v>0</v>
      </c>
      <c r="J1030" s="514">
        <v>0</v>
      </c>
      <c r="K1030" s="514">
        <v>0</v>
      </c>
      <c r="L1030" s="514">
        <v>0</v>
      </c>
      <c r="M1030" s="514">
        <v>0</v>
      </c>
      <c r="N1030" s="514">
        <v>0</v>
      </c>
      <c r="O1030" s="499"/>
      <c r="P1030" s="499"/>
      <c r="Q1030" s="499"/>
    </row>
    <row r="1031" spans="1:17" ht="14.4" x14ac:dyDescent="0.3">
      <c r="A1031" s="502">
        <v>2320020</v>
      </c>
      <c r="B1031" s="503" t="s">
        <v>2819</v>
      </c>
      <c r="C1031" s="514">
        <v>0</v>
      </c>
      <c r="D1031" s="514">
        <v>0</v>
      </c>
      <c r="E1031" s="514">
        <v>0</v>
      </c>
      <c r="F1031" s="514">
        <v>0</v>
      </c>
      <c r="G1031" s="514">
        <v>0</v>
      </c>
      <c r="H1031" s="514">
        <v>0</v>
      </c>
      <c r="I1031" s="514">
        <v>0</v>
      </c>
      <c r="J1031" s="514">
        <v>0</v>
      </c>
      <c r="K1031" s="514">
        <v>0</v>
      </c>
      <c r="L1031" s="514">
        <v>0</v>
      </c>
      <c r="M1031" s="514">
        <v>0</v>
      </c>
      <c r="N1031" s="514">
        <v>0</v>
      </c>
      <c r="O1031" s="499"/>
      <c r="P1031" s="499"/>
      <c r="Q1031" s="499"/>
    </row>
    <row r="1032" spans="1:17" ht="14.4" x14ac:dyDescent="0.3">
      <c r="A1032" s="502">
        <v>2320021</v>
      </c>
      <c r="B1032" s="503" t="s">
        <v>2820</v>
      </c>
      <c r="C1032" s="514">
        <v>0</v>
      </c>
      <c r="D1032" s="514">
        <v>0</v>
      </c>
      <c r="E1032" s="514">
        <v>0</v>
      </c>
      <c r="F1032" s="514">
        <v>0</v>
      </c>
      <c r="G1032" s="514">
        <v>0</v>
      </c>
      <c r="H1032" s="514">
        <v>0</v>
      </c>
      <c r="I1032" s="514">
        <v>0</v>
      </c>
      <c r="J1032" s="514">
        <v>0</v>
      </c>
      <c r="K1032" s="514">
        <v>0</v>
      </c>
      <c r="L1032" s="514">
        <v>0</v>
      </c>
      <c r="M1032" s="514">
        <v>0</v>
      </c>
      <c r="N1032" s="514">
        <v>0</v>
      </c>
      <c r="O1032" s="499"/>
      <c r="P1032" s="499"/>
      <c r="Q1032" s="499"/>
    </row>
    <row r="1033" spans="1:17" ht="14.4" x14ac:dyDescent="0.3">
      <c r="A1033" s="502">
        <v>2320022</v>
      </c>
      <c r="B1033" s="503" t="s">
        <v>2821</v>
      </c>
      <c r="C1033" s="514">
        <v>6660548.8200000003</v>
      </c>
      <c r="D1033" s="514">
        <v>6620444.8200000003</v>
      </c>
      <c r="E1033" s="514">
        <v>6580340.8200000003</v>
      </c>
      <c r="F1033" s="514">
        <v>6540236.8200000003</v>
      </c>
      <c r="G1033" s="514">
        <v>6500132.8200000003</v>
      </c>
      <c r="H1033" s="514">
        <v>6460028.8200000003</v>
      </c>
      <c r="I1033" s="514">
        <v>6419924.8200000003</v>
      </c>
      <c r="J1033" s="514">
        <v>6379820.8200000003</v>
      </c>
      <c r="K1033" s="514">
        <v>6339716.8200000003</v>
      </c>
      <c r="L1033" s="514">
        <v>6299612.8200000003</v>
      </c>
      <c r="M1033" s="514">
        <v>6259508.8200000003</v>
      </c>
      <c r="N1033" s="514">
        <v>6219404.8200000003</v>
      </c>
      <c r="O1033" s="499"/>
      <c r="P1033" s="499"/>
      <c r="Q1033" s="499"/>
    </row>
    <row r="1034" spans="1:17" ht="14.4" x14ac:dyDescent="0.3">
      <c r="A1034" s="502">
        <v>2320023</v>
      </c>
      <c r="B1034" s="503" t="s">
        <v>2822</v>
      </c>
      <c r="C1034" s="514">
        <v>0</v>
      </c>
      <c r="D1034" s="514">
        <v>0</v>
      </c>
      <c r="E1034" s="514">
        <v>0</v>
      </c>
      <c r="F1034" s="514">
        <v>0</v>
      </c>
      <c r="G1034" s="514">
        <v>0</v>
      </c>
      <c r="H1034" s="514">
        <v>0</v>
      </c>
      <c r="I1034" s="514">
        <v>0</v>
      </c>
      <c r="J1034" s="514">
        <v>0</v>
      </c>
      <c r="K1034" s="514">
        <v>0</v>
      </c>
      <c r="L1034" s="514">
        <v>0</v>
      </c>
      <c r="M1034" s="514">
        <v>0</v>
      </c>
      <c r="N1034" s="514">
        <v>0</v>
      </c>
      <c r="O1034" s="499"/>
      <c r="P1034" s="499"/>
      <c r="Q1034" s="499"/>
    </row>
    <row r="1035" spans="1:17" ht="14.4" x14ac:dyDescent="0.3">
      <c r="A1035" s="502">
        <v>2320024</v>
      </c>
      <c r="B1035" s="503" t="s">
        <v>2823</v>
      </c>
      <c r="C1035" s="514">
        <v>0</v>
      </c>
      <c r="D1035" s="514">
        <v>0</v>
      </c>
      <c r="E1035" s="514">
        <v>0</v>
      </c>
      <c r="F1035" s="514">
        <v>0</v>
      </c>
      <c r="G1035" s="514">
        <v>0</v>
      </c>
      <c r="H1035" s="514">
        <v>0</v>
      </c>
      <c r="I1035" s="514">
        <v>0</v>
      </c>
      <c r="J1035" s="514">
        <v>0</v>
      </c>
      <c r="K1035" s="514">
        <v>0</v>
      </c>
      <c r="L1035" s="514">
        <v>0</v>
      </c>
      <c r="M1035" s="514">
        <v>0</v>
      </c>
      <c r="N1035" s="514">
        <v>0</v>
      </c>
      <c r="O1035" s="499"/>
      <c r="P1035" s="499"/>
      <c r="Q1035" s="499"/>
    </row>
    <row r="1036" spans="1:17" ht="14.4" x14ac:dyDescent="0.3">
      <c r="A1036" s="502">
        <v>2320025</v>
      </c>
      <c r="B1036" s="503" t="s">
        <v>2824</v>
      </c>
      <c r="C1036" s="514">
        <v>0</v>
      </c>
      <c r="D1036" s="514">
        <v>0</v>
      </c>
      <c r="E1036" s="514">
        <v>0</v>
      </c>
      <c r="F1036" s="514">
        <v>0</v>
      </c>
      <c r="G1036" s="514">
        <v>0</v>
      </c>
      <c r="H1036" s="514">
        <v>0</v>
      </c>
      <c r="I1036" s="514">
        <v>0</v>
      </c>
      <c r="J1036" s="514">
        <v>0</v>
      </c>
      <c r="K1036" s="514">
        <v>0</v>
      </c>
      <c r="L1036" s="514">
        <v>0</v>
      </c>
      <c r="M1036" s="514">
        <v>0</v>
      </c>
      <c r="N1036" s="514">
        <v>0</v>
      </c>
      <c r="O1036" s="499"/>
      <c r="P1036" s="499"/>
      <c r="Q1036" s="499"/>
    </row>
    <row r="1037" spans="1:17" ht="14.4" x14ac:dyDescent="0.3">
      <c r="A1037" s="502">
        <v>2320026</v>
      </c>
      <c r="B1037" s="503" t="s">
        <v>2825</v>
      </c>
      <c r="C1037" s="514">
        <v>0</v>
      </c>
      <c r="D1037" s="514">
        <v>0</v>
      </c>
      <c r="E1037" s="514">
        <v>0</v>
      </c>
      <c r="F1037" s="514">
        <v>0</v>
      </c>
      <c r="G1037" s="514">
        <v>0</v>
      </c>
      <c r="H1037" s="514">
        <v>0</v>
      </c>
      <c r="I1037" s="514">
        <v>0</v>
      </c>
      <c r="J1037" s="514">
        <v>0</v>
      </c>
      <c r="K1037" s="514">
        <v>0</v>
      </c>
      <c r="L1037" s="514">
        <v>0</v>
      </c>
      <c r="M1037" s="514">
        <v>0</v>
      </c>
      <c r="N1037" s="514">
        <v>0</v>
      </c>
      <c r="O1037" s="499"/>
      <c r="P1037" s="499"/>
      <c r="Q1037" s="499"/>
    </row>
    <row r="1038" spans="1:17" ht="14.4" x14ac:dyDescent="0.3">
      <c r="A1038" s="502">
        <v>2320027</v>
      </c>
      <c r="B1038" s="503" t="s">
        <v>2826</v>
      </c>
      <c r="C1038" s="514">
        <v>198000</v>
      </c>
      <c r="D1038" s="514">
        <v>198000</v>
      </c>
      <c r="E1038" s="514">
        <v>198000</v>
      </c>
      <c r="F1038" s="514">
        <v>198000</v>
      </c>
      <c r="G1038" s="514">
        <v>198000</v>
      </c>
      <c r="H1038" s="514">
        <v>198000</v>
      </c>
      <c r="I1038" s="514">
        <v>198000</v>
      </c>
      <c r="J1038" s="514">
        <v>198000</v>
      </c>
      <c r="K1038" s="514">
        <v>198000</v>
      </c>
      <c r="L1038" s="514">
        <v>198000</v>
      </c>
      <c r="M1038" s="514">
        <v>198000</v>
      </c>
      <c r="N1038" s="514">
        <v>198000</v>
      </c>
      <c r="O1038" s="499"/>
      <c r="P1038" s="499"/>
      <c r="Q1038" s="499"/>
    </row>
    <row r="1039" spans="1:17" ht="14.4" x14ac:dyDescent="0.3">
      <c r="A1039" s="502">
        <v>2320028</v>
      </c>
      <c r="B1039" s="503" t="s">
        <v>2827</v>
      </c>
      <c r="C1039" s="514">
        <v>79000</v>
      </c>
      <c r="D1039" s="514">
        <v>79000</v>
      </c>
      <c r="E1039" s="514">
        <v>79000</v>
      </c>
      <c r="F1039" s="514">
        <v>79000</v>
      </c>
      <c r="G1039" s="514">
        <v>79000</v>
      </c>
      <c r="H1039" s="514">
        <v>79000</v>
      </c>
      <c r="I1039" s="514">
        <v>79000</v>
      </c>
      <c r="J1039" s="514">
        <v>79000</v>
      </c>
      <c r="K1039" s="514">
        <v>79000</v>
      </c>
      <c r="L1039" s="514">
        <v>79000</v>
      </c>
      <c r="M1039" s="514">
        <v>79000</v>
      </c>
      <c r="N1039" s="514">
        <v>79000</v>
      </c>
      <c r="O1039" s="499"/>
      <c r="P1039" s="499"/>
      <c r="Q1039" s="499"/>
    </row>
    <row r="1040" spans="1:17" ht="14.4" x14ac:dyDescent="0.3">
      <c r="A1040" s="502">
        <v>2320029</v>
      </c>
      <c r="B1040" s="503" t="s">
        <v>2828</v>
      </c>
      <c r="C1040" s="514">
        <v>75000</v>
      </c>
      <c r="D1040" s="514">
        <v>75000</v>
      </c>
      <c r="E1040" s="514">
        <v>75000</v>
      </c>
      <c r="F1040" s="514">
        <v>75000</v>
      </c>
      <c r="G1040" s="514">
        <v>75000</v>
      </c>
      <c r="H1040" s="514">
        <v>75000</v>
      </c>
      <c r="I1040" s="514">
        <v>75000</v>
      </c>
      <c r="J1040" s="514">
        <v>75000</v>
      </c>
      <c r="K1040" s="514">
        <v>75000</v>
      </c>
      <c r="L1040" s="514">
        <v>75000</v>
      </c>
      <c r="M1040" s="514">
        <v>75000</v>
      </c>
      <c r="N1040" s="514">
        <v>75000</v>
      </c>
      <c r="O1040" s="499"/>
      <c r="P1040" s="499"/>
      <c r="Q1040" s="499"/>
    </row>
    <row r="1041" spans="1:17" ht="14.4" x14ac:dyDescent="0.3">
      <c r="A1041" s="502">
        <v>2320030</v>
      </c>
      <c r="B1041" s="503" t="s">
        <v>2829</v>
      </c>
      <c r="C1041" s="514">
        <v>0</v>
      </c>
      <c r="D1041" s="514">
        <v>0</v>
      </c>
      <c r="E1041" s="514">
        <v>0</v>
      </c>
      <c r="F1041" s="514">
        <v>0</v>
      </c>
      <c r="G1041" s="514">
        <v>0</v>
      </c>
      <c r="H1041" s="514">
        <v>0</v>
      </c>
      <c r="I1041" s="514">
        <v>0</v>
      </c>
      <c r="J1041" s="514">
        <v>0</v>
      </c>
      <c r="K1041" s="514">
        <v>0</v>
      </c>
      <c r="L1041" s="514">
        <v>0</v>
      </c>
      <c r="M1041" s="514">
        <v>0</v>
      </c>
      <c r="N1041" s="514">
        <v>0</v>
      </c>
      <c r="O1041" s="499"/>
      <c r="P1041" s="499"/>
      <c r="Q1041" s="499"/>
    </row>
    <row r="1042" spans="1:17" ht="14.4" x14ac:dyDescent="0.3">
      <c r="A1042" s="502">
        <v>2320031</v>
      </c>
      <c r="B1042" s="503" t="s">
        <v>2830</v>
      </c>
      <c r="C1042" s="514">
        <v>51138000</v>
      </c>
      <c r="D1042" s="514">
        <v>45338000</v>
      </c>
      <c r="E1042" s="514">
        <v>45125000</v>
      </c>
      <c r="F1042" s="514">
        <v>45879000</v>
      </c>
      <c r="G1042" s="514">
        <v>51346000</v>
      </c>
      <c r="H1042" s="514">
        <v>56645000</v>
      </c>
      <c r="I1042" s="514">
        <v>61996000</v>
      </c>
      <c r="J1042" s="514">
        <v>63004000</v>
      </c>
      <c r="K1042" s="514">
        <v>57715000</v>
      </c>
      <c r="L1042" s="514">
        <v>55123000</v>
      </c>
      <c r="M1042" s="514">
        <v>47364000</v>
      </c>
      <c r="N1042" s="514">
        <v>51506000</v>
      </c>
      <c r="O1042" s="499"/>
      <c r="P1042" s="499"/>
      <c r="Q1042" s="499"/>
    </row>
    <row r="1043" spans="1:17" ht="14.4" x14ac:dyDescent="0.3">
      <c r="A1043" s="502">
        <v>2320032</v>
      </c>
      <c r="B1043" s="503" t="s">
        <v>2831</v>
      </c>
      <c r="C1043" s="514">
        <v>0</v>
      </c>
      <c r="D1043" s="514">
        <v>0</v>
      </c>
      <c r="E1043" s="514">
        <v>0</v>
      </c>
      <c r="F1043" s="514">
        <v>0</v>
      </c>
      <c r="G1043" s="514">
        <v>0</v>
      </c>
      <c r="H1043" s="514">
        <v>0</v>
      </c>
      <c r="I1043" s="514">
        <v>0</v>
      </c>
      <c r="J1043" s="514">
        <v>0</v>
      </c>
      <c r="K1043" s="514">
        <v>0</v>
      </c>
      <c r="L1043" s="514">
        <v>0</v>
      </c>
      <c r="M1043" s="514">
        <v>0</v>
      </c>
      <c r="N1043" s="514">
        <v>0</v>
      </c>
      <c r="O1043" s="499"/>
      <c r="P1043" s="499"/>
      <c r="Q1043" s="499"/>
    </row>
    <row r="1044" spans="1:17" ht="14.4" x14ac:dyDescent="0.3">
      <c r="A1044" s="502">
        <v>2320033</v>
      </c>
      <c r="B1044" s="503" t="s">
        <v>2832</v>
      </c>
      <c r="C1044" s="514">
        <v>0</v>
      </c>
      <c r="D1044" s="514">
        <v>0</v>
      </c>
      <c r="E1044" s="514">
        <v>0</v>
      </c>
      <c r="F1044" s="514">
        <v>0</v>
      </c>
      <c r="G1044" s="514">
        <v>0</v>
      </c>
      <c r="H1044" s="514">
        <v>0</v>
      </c>
      <c r="I1044" s="514">
        <v>0</v>
      </c>
      <c r="J1044" s="514">
        <v>0</v>
      </c>
      <c r="K1044" s="514">
        <v>0</v>
      </c>
      <c r="L1044" s="514">
        <v>0</v>
      </c>
      <c r="M1044" s="514">
        <v>0</v>
      </c>
      <c r="N1044" s="514">
        <v>0</v>
      </c>
      <c r="O1044" s="499"/>
      <c r="P1044" s="499"/>
      <c r="Q1044" s="499"/>
    </row>
    <row r="1045" spans="1:17" ht="14.4" x14ac:dyDescent="0.3">
      <c r="A1045" s="502">
        <v>2320034</v>
      </c>
      <c r="B1045" s="503" t="s">
        <v>2833</v>
      </c>
      <c r="C1045" s="514">
        <v>0</v>
      </c>
      <c r="D1045" s="514">
        <v>0</v>
      </c>
      <c r="E1045" s="514">
        <v>0</v>
      </c>
      <c r="F1045" s="514">
        <v>0</v>
      </c>
      <c r="G1045" s="514">
        <v>0</v>
      </c>
      <c r="H1045" s="514">
        <v>0</v>
      </c>
      <c r="I1045" s="514">
        <v>0</v>
      </c>
      <c r="J1045" s="514">
        <v>0</v>
      </c>
      <c r="K1045" s="514">
        <v>0</v>
      </c>
      <c r="L1045" s="514">
        <v>0</v>
      </c>
      <c r="M1045" s="514">
        <v>0</v>
      </c>
      <c r="N1045" s="514">
        <v>0</v>
      </c>
      <c r="O1045" s="499"/>
      <c r="P1045" s="499"/>
      <c r="Q1045" s="499"/>
    </row>
    <row r="1046" spans="1:17" ht="14.4" x14ac:dyDescent="0.3">
      <c r="A1046" s="502">
        <v>2320035</v>
      </c>
      <c r="B1046" s="503" t="s">
        <v>2834</v>
      </c>
      <c r="C1046" s="514">
        <v>3864376.64</v>
      </c>
      <c r="D1046" s="514">
        <v>3983168.65</v>
      </c>
      <c r="E1046" s="514">
        <v>1989239.66</v>
      </c>
      <c r="F1046" s="514">
        <v>4272180.0999999996</v>
      </c>
      <c r="G1046" s="514">
        <v>622037.56999999995</v>
      </c>
      <c r="H1046" s="514">
        <v>267668.28000000003</v>
      </c>
      <c r="I1046" s="514">
        <v>63859.32</v>
      </c>
      <c r="J1046" s="514">
        <v>66494.350000000006</v>
      </c>
      <c r="K1046" s="514">
        <v>253418.23</v>
      </c>
      <c r="L1046" s="514">
        <v>970591.4</v>
      </c>
      <c r="M1046" s="514">
        <v>187476.06</v>
      </c>
      <c r="N1046" s="514">
        <v>242744.75</v>
      </c>
      <c r="O1046" s="499"/>
      <c r="P1046" s="499"/>
      <c r="Q1046" s="499"/>
    </row>
    <row r="1047" spans="1:17" ht="14.4" x14ac:dyDescent="0.3">
      <c r="A1047" s="502">
        <v>2320036</v>
      </c>
      <c r="B1047" s="503" t="s">
        <v>2835</v>
      </c>
      <c r="C1047" s="514">
        <v>0</v>
      </c>
      <c r="D1047" s="514">
        <v>0</v>
      </c>
      <c r="E1047" s="514">
        <v>0</v>
      </c>
      <c r="F1047" s="514">
        <v>0</v>
      </c>
      <c r="G1047" s="514">
        <v>0</v>
      </c>
      <c r="H1047" s="514">
        <v>0</v>
      </c>
      <c r="I1047" s="514">
        <v>0</v>
      </c>
      <c r="J1047" s="514">
        <v>0</v>
      </c>
      <c r="K1047" s="514">
        <v>0</v>
      </c>
      <c r="L1047" s="514">
        <v>0</v>
      </c>
      <c r="M1047" s="514">
        <v>0</v>
      </c>
      <c r="N1047" s="514">
        <v>0</v>
      </c>
      <c r="O1047" s="499"/>
      <c r="P1047" s="499"/>
      <c r="Q1047" s="499"/>
    </row>
    <row r="1048" spans="1:17" ht="14.4" x14ac:dyDescent="0.3">
      <c r="A1048" s="504">
        <v>2320037</v>
      </c>
      <c r="B1048" s="505" t="s">
        <v>2836</v>
      </c>
      <c r="C1048" s="514">
        <v>0</v>
      </c>
      <c r="D1048" s="514">
        <v>0</v>
      </c>
      <c r="E1048" s="514">
        <v>0</v>
      </c>
      <c r="F1048" s="514">
        <v>0</v>
      </c>
      <c r="G1048" s="514">
        <v>0</v>
      </c>
      <c r="H1048" s="514">
        <v>0</v>
      </c>
      <c r="I1048" s="514">
        <v>0</v>
      </c>
      <c r="J1048" s="514">
        <v>0</v>
      </c>
      <c r="K1048" s="514">
        <v>0</v>
      </c>
      <c r="L1048" s="514">
        <v>0</v>
      </c>
      <c r="M1048" s="514">
        <v>0</v>
      </c>
      <c r="N1048" s="514">
        <v>0</v>
      </c>
      <c r="O1048" s="499"/>
      <c r="P1048" s="499"/>
      <c r="Q1048" s="499"/>
    </row>
    <row r="1049" spans="1:17" ht="14.4" x14ac:dyDescent="0.3">
      <c r="A1049" s="502">
        <v>2320038</v>
      </c>
      <c r="B1049" s="503" t="s">
        <v>2837</v>
      </c>
      <c r="C1049" s="514">
        <v>0</v>
      </c>
      <c r="D1049" s="514">
        <v>0</v>
      </c>
      <c r="E1049" s="514">
        <v>0</v>
      </c>
      <c r="F1049" s="514">
        <v>0</v>
      </c>
      <c r="G1049" s="514">
        <v>0</v>
      </c>
      <c r="H1049" s="514">
        <v>0</v>
      </c>
      <c r="I1049" s="514">
        <v>0</v>
      </c>
      <c r="J1049" s="514">
        <v>0</v>
      </c>
      <c r="K1049" s="514">
        <v>0</v>
      </c>
      <c r="L1049" s="514">
        <v>0</v>
      </c>
      <c r="M1049" s="514">
        <v>0</v>
      </c>
      <c r="N1049" s="514">
        <v>0</v>
      </c>
      <c r="O1049" s="499"/>
      <c r="P1049" s="499"/>
      <c r="Q1049" s="499"/>
    </row>
    <row r="1050" spans="1:17" ht="14.4" x14ac:dyDescent="0.3">
      <c r="A1050" s="502">
        <v>2320039</v>
      </c>
      <c r="B1050" s="503" t="s">
        <v>2838</v>
      </c>
      <c r="C1050" s="514">
        <v>0</v>
      </c>
      <c r="D1050" s="514">
        <v>0</v>
      </c>
      <c r="E1050" s="514">
        <v>0</v>
      </c>
      <c r="F1050" s="514">
        <v>0</v>
      </c>
      <c r="G1050" s="514">
        <v>0</v>
      </c>
      <c r="H1050" s="514">
        <v>0</v>
      </c>
      <c r="I1050" s="514">
        <v>0</v>
      </c>
      <c r="J1050" s="514">
        <v>0</v>
      </c>
      <c r="K1050" s="514">
        <v>0</v>
      </c>
      <c r="L1050" s="514">
        <v>0</v>
      </c>
      <c r="M1050" s="514">
        <v>0</v>
      </c>
      <c r="N1050" s="514">
        <v>0</v>
      </c>
      <c r="O1050" s="499"/>
      <c r="P1050" s="499"/>
      <c r="Q1050" s="499"/>
    </row>
    <row r="1051" spans="1:17" ht="14.4" x14ac:dyDescent="0.3">
      <c r="A1051" s="502">
        <v>2320040</v>
      </c>
      <c r="B1051" s="503" t="s">
        <v>2839</v>
      </c>
      <c r="C1051" s="514">
        <v>0</v>
      </c>
      <c r="D1051" s="514">
        <v>0</v>
      </c>
      <c r="E1051" s="514">
        <v>0</v>
      </c>
      <c r="F1051" s="514">
        <v>0</v>
      </c>
      <c r="G1051" s="514">
        <v>0</v>
      </c>
      <c r="H1051" s="514">
        <v>0</v>
      </c>
      <c r="I1051" s="514">
        <v>0</v>
      </c>
      <c r="J1051" s="514">
        <v>0</v>
      </c>
      <c r="K1051" s="514">
        <v>0</v>
      </c>
      <c r="L1051" s="514">
        <v>0</v>
      </c>
      <c r="M1051" s="514">
        <v>0</v>
      </c>
      <c r="N1051" s="514">
        <v>0</v>
      </c>
      <c r="O1051" s="499"/>
      <c r="P1051" s="499"/>
      <c r="Q1051" s="499"/>
    </row>
    <row r="1052" spans="1:17" ht="14.4" x14ac:dyDescent="0.3">
      <c r="A1052" s="502">
        <v>2320042</v>
      </c>
      <c r="B1052" s="503" t="s">
        <v>2840</v>
      </c>
      <c r="C1052" s="514">
        <v>0</v>
      </c>
      <c r="D1052" s="514">
        <v>0</v>
      </c>
      <c r="E1052" s="514">
        <v>0</v>
      </c>
      <c r="F1052" s="514">
        <v>0</v>
      </c>
      <c r="G1052" s="514">
        <v>0</v>
      </c>
      <c r="H1052" s="514">
        <v>0</v>
      </c>
      <c r="I1052" s="514">
        <v>0</v>
      </c>
      <c r="J1052" s="514">
        <v>0</v>
      </c>
      <c r="K1052" s="514">
        <v>0</v>
      </c>
      <c r="L1052" s="514">
        <v>0</v>
      </c>
      <c r="M1052" s="514">
        <v>0</v>
      </c>
      <c r="N1052" s="514">
        <v>0</v>
      </c>
      <c r="O1052" s="499"/>
      <c r="P1052" s="499"/>
      <c r="Q1052" s="499"/>
    </row>
    <row r="1053" spans="1:17" ht="14.4" x14ac:dyDescent="0.3">
      <c r="A1053" s="506">
        <v>2320047</v>
      </c>
      <c r="B1053" s="507" t="s">
        <v>2841</v>
      </c>
      <c r="C1053" s="514">
        <v>0</v>
      </c>
      <c r="D1053" s="514">
        <v>0</v>
      </c>
      <c r="E1053" s="514">
        <v>0</v>
      </c>
      <c r="F1053" s="514">
        <v>0</v>
      </c>
      <c r="G1053" s="514">
        <v>0</v>
      </c>
      <c r="H1053" s="514">
        <v>0</v>
      </c>
      <c r="I1053" s="514">
        <v>0</v>
      </c>
      <c r="J1053" s="514">
        <v>0</v>
      </c>
      <c r="K1053" s="514">
        <v>0</v>
      </c>
      <c r="L1053" s="514">
        <v>0</v>
      </c>
      <c r="M1053" s="514">
        <v>0</v>
      </c>
      <c r="N1053" s="514">
        <v>0</v>
      </c>
      <c r="O1053" s="499"/>
      <c r="P1053" s="499"/>
      <c r="Q1053" s="499"/>
    </row>
    <row r="1054" spans="1:17" ht="14.4" x14ac:dyDescent="0.3">
      <c r="A1054" s="508">
        <v>2320050</v>
      </c>
      <c r="B1054" s="509" t="s">
        <v>2842</v>
      </c>
      <c r="C1054" s="514">
        <v>0</v>
      </c>
      <c r="D1054" s="514">
        <v>0</v>
      </c>
      <c r="E1054" s="514">
        <v>0</v>
      </c>
      <c r="F1054" s="514">
        <v>0</v>
      </c>
      <c r="G1054" s="514">
        <v>0</v>
      </c>
      <c r="H1054" s="514">
        <v>0</v>
      </c>
      <c r="I1054" s="514">
        <v>0</v>
      </c>
      <c r="J1054" s="514">
        <v>0</v>
      </c>
      <c r="K1054" s="514">
        <v>0</v>
      </c>
      <c r="L1054" s="514">
        <v>0</v>
      </c>
      <c r="M1054" s="514">
        <v>0</v>
      </c>
      <c r="N1054" s="514">
        <v>0</v>
      </c>
      <c r="O1054" s="499"/>
      <c r="P1054" s="499"/>
      <c r="Q1054" s="499"/>
    </row>
    <row r="1055" spans="1:17" ht="14.4" x14ac:dyDescent="0.3">
      <c r="A1055" s="506">
        <v>2320105</v>
      </c>
      <c r="B1055" s="507" t="s">
        <v>2843</v>
      </c>
      <c r="C1055" s="514">
        <v>0</v>
      </c>
      <c r="D1055" s="514">
        <v>0</v>
      </c>
      <c r="E1055" s="514">
        <v>0</v>
      </c>
      <c r="F1055" s="514">
        <v>0</v>
      </c>
      <c r="G1055" s="514">
        <v>0</v>
      </c>
      <c r="H1055" s="514">
        <v>0</v>
      </c>
      <c r="I1055" s="514">
        <v>0</v>
      </c>
      <c r="J1055" s="514">
        <v>0</v>
      </c>
      <c r="K1055" s="514">
        <v>0</v>
      </c>
      <c r="L1055" s="514">
        <v>0</v>
      </c>
      <c r="M1055" s="514">
        <v>0</v>
      </c>
      <c r="N1055" s="514">
        <v>0</v>
      </c>
      <c r="O1055" s="499"/>
      <c r="P1055" s="499"/>
      <c r="Q1055" s="499"/>
    </row>
    <row r="1056" spans="1:17" ht="14.4" x14ac:dyDescent="0.3">
      <c r="A1056" s="508">
        <v>2320401</v>
      </c>
      <c r="B1056" s="509" t="s">
        <v>2844</v>
      </c>
      <c r="C1056" s="514">
        <v>0</v>
      </c>
      <c r="D1056" s="514">
        <v>0</v>
      </c>
      <c r="E1056" s="514">
        <v>0</v>
      </c>
      <c r="F1056" s="514">
        <v>0</v>
      </c>
      <c r="G1056" s="514">
        <v>0</v>
      </c>
      <c r="H1056" s="514">
        <v>0</v>
      </c>
      <c r="I1056" s="514">
        <v>0</v>
      </c>
      <c r="J1056" s="514">
        <v>0</v>
      </c>
      <c r="K1056" s="514">
        <v>0</v>
      </c>
      <c r="L1056" s="514">
        <v>0</v>
      </c>
      <c r="M1056" s="514">
        <v>0</v>
      </c>
      <c r="N1056" s="514">
        <v>0</v>
      </c>
      <c r="O1056" s="499"/>
      <c r="P1056" s="499"/>
      <c r="Q1056" s="499"/>
    </row>
    <row r="1057" spans="1:17" ht="14.4" x14ac:dyDescent="0.3">
      <c r="A1057" s="506">
        <v>2320402</v>
      </c>
      <c r="B1057" s="507" t="s">
        <v>2845</v>
      </c>
      <c r="C1057" s="514">
        <v>0</v>
      </c>
      <c r="D1057" s="514">
        <v>0</v>
      </c>
      <c r="E1057" s="514">
        <v>808400</v>
      </c>
      <c r="F1057" s="514">
        <v>0</v>
      </c>
      <c r="G1057" s="514">
        <v>0</v>
      </c>
      <c r="H1057" s="514">
        <v>808400</v>
      </c>
      <c r="I1057" s="514">
        <v>0</v>
      </c>
      <c r="J1057" s="514">
        <v>0</v>
      </c>
      <c r="K1057" s="514">
        <v>808400</v>
      </c>
      <c r="L1057" s="514">
        <v>0</v>
      </c>
      <c r="M1057" s="514">
        <v>0</v>
      </c>
      <c r="N1057" s="514">
        <v>808400</v>
      </c>
      <c r="O1057" s="499"/>
      <c r="P1057" s="499"/>
      <c r="Q1057" s="499"/>
    </row>
    <row r="1058" spans="1:17" ht="14.4" x14ac:dyDescent="0.3">
      <c r="A1058" s="508">
        <v>2320403</v>
      </c>
      <c r="B1058" s="509" t="s">
        <v>2846</v>
      </c>
      <c r="C1058" s="514">
        <v>0</v>
      </c>
      <c r="D1058" s="514">
        <v>0</v>
      </c>
      <c r="E1058" s="514">
        <v>738000</v>
      </c>
      <c r="F1058" s="514">
        <v>0</v>
      </c>
      <c r="G1058" s="514">
        <v>0</v>
      </c>
      <c r="H1058" s="514">
        <v>738000</v>
      </c>
      <c r="I1058" s="514">
        <v>0</v>
      </c>
      <c r="J1058" s="514">
        <v>0</v>
      </c>
      <c r="K1058" s="514">
        <v>738000</v>
      </c>
      <c r="L1058" s="514">
        <v>0</v>
      </c>
      <c r="M1058" s="514">
        <v>0</v>
      </c>
      <c r="N1058" s="514">
        <v>738000</v>
      </c>
      <c r="O1058" s="499"/>
      <c r="P1058" s="499"/>
      <c r="Q1058" s="499"/>
    </row>
    <row r="1059" spans="1:17" ht="14.4" x14ac:dyDescent="0.3">
      <c r="A1059" s="506">
        <v>2320404</v>
      </c>
      <c r="B1059" s="507" t="s">
        <v>2847</v>
      </c>
      <c r="C1059" s="514">
        <v>0</v>
      </c>
      <c r="D1059" s="514">
        <v>0</v>
      </c>
      <c r="E1059" s="514">
        <v>89000</v>
      </c>
      <c r="F1059" s="514">
        <v>0</v>
      </c>
      <c r="G1059" s="514">
        <v>0</v>
      </c>
      <c r="H1059" s="514">
        <v>89000</v>
      </c>
      <c r="I1059" s="514">
        <v>0</v>
      </c>
      <c r="J1059" s="514">
        <v>0</v>
      </c>
      <c r="K1059" s="514">
        <v>89000</v>
      </c>
      <c r="L1059" s="514">
        <v>0</v>
      </c>
      <c r="M1059" s="514">
        <v>0</v>
      </c>
      <c r="N1059" s="514">
        <v>89000</v>
      </c>
      <c r="O1059" s="499"/>
      <c r="P1059" s="499"/>
      <c r="Q1059" s="499"/>
    </row>
    <row r="1060" spans="1:17" ht="14.4" x14ac:dyDescent="0.3">
      <c r="A1060" s="506">
        <v>2320405</v>
      </c>
      <c r="B1060" s="507" t="s">
        <v>2848</v>
      </c>
      <c r="C1060" s="514">
        <v>0</v>
      </c>
      <c r="D1060" s="514">
        <v>0</v>
      </c>
      <c r="E1060" s="514">
        <v>149000</v>
      </c>
      <c r="F1060" s="514">
        <v>0</v>
      </c>
      <c r="G1060" s="514">
        <v>0</v>
      </c>
      <c r="H1060" s="514">
        <v>149000</v>
      </c>
      <c r="I1060" s="514">
        <v>0</v>
      </c>
      <c r="J1060" s="514">
        <v>0</v>
      </c>
      <c r="K1060" s="514">
        <v>149000</v>
      </c>
      <c r="L1060" s="514">
        <v>0</v>
      </c>
      <c r="M1060" s="514">
        <v>0</v>
      </c>
      <c r="N1060" s="514">
        <v>149000</v>
      </c>
      <c r="O1060" s="499"/>
      <c r="P1060" s="499"/>
      <c r="Q1060" s="499"/>
    </row>
    <row r="1061" spans="1:17" ht="14.4" x14ac:dyDescent="0.3">
      <c r="A1061" s="506">
        <v>2320411</v>
      </c>
      <c r="B1061" s="507" t="s">
        <v>2849</v>
      </c>
      <c r="C1061" s="514">
        <v>0</v>
      </c>
      <c r="D1061" s="514">
        <v>0</v>
      </c>
      <c r="E1061" s="514">
        <v>0</v>
      </c>
      <c r="F1061" s="514">
        <v>0</v>
      </c>
      <c r="G1061" s="514">
        <v>0</v>
      </c>
      <c r="H1061" s="514">
        <v>0</v>
      </c>
      <c r="I1061" s="514">
        <v>0</v>
      </c>
      <c r="J1061" s="514">
        <v>0</v>
      </c>
      <c r="K1061" s="514">
        <v>0</v>
      </c>
      <c r="L1061" s="514">
        <v>0</v>
      </c>
      <c r="M1061" s="514">
        <v>0</v>
      </c>
      <c r="N1061" s="514">
        <v>0</v>
      </c>
      <c r="O1061" s="499"/>
      <c r="P1061" s="499"/>
      <c r="Q1061" s="499"/>
    </row>
    <row r="1062" spans="1:17" ht="14.4" x14ac:dyDescent="0.3">
      <c r="A1062" s="508">
        <v>2320412</v>
      </c>
      <c r="B1062" s="509" t="s">
        <v>2850</v>
      </c>
      <c r="C1062" s="514">
        <v>3112407.43</v>
      </c>
      <c r="D1062" s="514">
        <v>3112407.43</v>
      </c>
      <c r="E1062" s="514">
        <v>3112407.43</v>
      </c>
      <c r="F1062" s="514">
        <v>3112407.43</v>
      </c>
      <c r="G1062" s="514">
        <v>3112407.43</v>
      </c>
      <c r="H1062" s="514">
        <v>3112407.43</v>
      </c>
      <c r="I1062" s="514">
        <v>3112407.43</v>
      </c>
      <c r="J1062" s="514">
        <v>3112407.43</v>
      </c>
      <c r="K1062" s="514">
        <v>3112407.43</v>
      </c>
      <c r="L1062" s="514">
        <v>3112407.43</v>
      </c>
      <c r="M1062" s="514">
        <v>3112407.43</v>
      </c>
      <c r="N1062" s="514">
        <v>3112407.43</v>
      </c>
      <c r="O1062" s="499"/>
      <c r="P1062" s="499"/>
      <c r="Q1062" s="499"/>
    </row>
    <row r="1063" spans="1:17" ht="14.4" x14ac:dyDescent="0.3">
      <c r="A1063" s="506">
        <v>2320999</v>
      </c>
      <c r="B1063" s="507" t="s">
        <v>2851</v>
      </c>
      <c r="C1063" s="514">
        <v>0</v>
      </c>
      <c r="D1063" s="514">
        <v>0</v>
      </c>
      <c r="E1063" s="514">
        <v>0</v>
      </c>
      <c r="F1063" s="514">
        <v>0</v>
      </c>
      <c r="G1063" s="514">
        <v>0</v>
      </c>
      <c r="H1063" s="514">
        <v>0</v>
      </c>
      <c r="I1063" s="514">
        <v>0</v>
      </c>
      <c r="J1063" s="514">
        <v>0</v>
      </c>
      <c r="K1063" s="514">
        <v>0</v>
      </c>
      <c r="L1063" s="514">
        <v>0</v>
      </c>
      <c r="M1063" s="514">
        <v>0</v>
      </c>
      <c r="N1063" s="514">
        <v>0</v>
      </c>
      <c r="O1063" s="499"/>
      <c r="P1063" s="499"/>
      <c r="Q1063" s="499"/>
    </row>
    <row r="1064" spans="1:17" ht="14.4" x14ac:dyDescent="0.3">
      <c r="A1064" s="506">
        <v>2330710</v>
      </c>
      <c r="B1064" s="507" t="s">
        <v>2852</v>
      </c>
      <c r="C1064" s="514">
        <v>0</v>
      </c>
      <c r="D1064" s="514">
        <v>0</v>
      </c>
      <c r="E1064" s="514">
        <v>0</v>
      </c>
      <c r="F1064" s="514">
        <v>0</v>
      </c>
      <c r="G1064" s="514">
        <v>0</v>
      </c>
      <c r="H1064" s="514">
        <v>0</v>
      </c>
      <c r="I1064" s="514">
        <v>0</v>
      </c>
      <c r="J1064" s="514">
        <v>0</v>
      </c>
      <c r="K1064" s="514">
        <v>0</v>
      </c>
      <c r="L1064" s="514">
        <v>0</v>
      </c>
      <c r="M1064" s="514">
        <v>0</v>
      </c>
      <c r="N1064" s="514">
        <v>0</v>
      </c>
      <c r="O1064" s="499"/>
      <c r="P1064" s="499"/>
      <c r="Q1064" s="499"/>
    </row>
    <row r="1065" spans="1:17" ht="14.4" x14ac:dyDescent="0.3">
      <c r="A1065" s="506">
        <v>2330711</v>
      </c>
      <c r="B1065" s="507" t="s">
        <v>2853</v>
      </c>
      <c r="C1065" s="514">
        <v>0</v>
      </c>
      <c r="D1065" s="514">
        <v>0</v>
      </c>
      <c r="E1065" s="514">
        <v>0</v>
      </c>
      <c r="F1065" s="514">
        <v>0</v>
      </c>
      <c r="G1065" s="514">
        <v>0</v>
      </c>
      <c r="H1065" s="514">
        <v>0</v>
      </c>
      <c r="I1065" s="514">
        <v>0</v>
      </c>
      <c r="J1065" s="514">
        <v>0</v>
      </c>
      <c r="K1065" s="514">
        <v>0</v>
      </c>
      <c r="L1065" s="514">
        <v>0</v>
      </c>
      <c r="M1065" s="514">
        <v>0</v>
      </c>
      <c r="N1065" s="514">
        <v>0</v>
      </c>
      <c r="O1065" s="499"/>
      <c r="P1065" s="499"/>
      <c r="Q1065" s="499"/>
    </row>
    <row r="1066" spans="1:17" ht="14.4" x14ac:dyDescent="0.3">
      <c r="A1066" s="506">
        <v>2330712</v>
      </c>
      <c r="B1066" s="507" t="s">
        <v>2854</v>
      </c>
      <c r="C1066" s="514">
        <v>0</v>
      </c>
      <c r="D1066" s="514">
        <v>0</v>
      </c>
      <c r="E1066" s="514">
        <v>0</v>
      </c>
      <c r="F1066" s="514">
        <v>0</v>
      </c>
      <c r="G1066" s="514">
        <v>0</v>
      </c>
      <c r="H1066" s="514">
        <v>0</v>
      </c>
      <c r="I1066" s="514">
        <v>0</v>
      </c>
      <c r="J1066" s="514">
        <v>0</v>
      </c>
      <c r="K1066" s="514">
        <v>0</v>
      </c>
      <c r="L1066" s="514">
        <v>0</v>
      </c>
      <c r="M1066" s="514">
        <v>0</v>
      </c>
      <c r="N1066" s="514">
        <v>0</v>
      </c>
      <c r="O1066" s="499"/>
      <c r="P1066" s="499"/>
      <c r="Q1066" s="499"/>
    </row>
    <row r="1067" spans="1:17" ht="14.4" x14ac:dyDescent="0.3">
      <c r="A1067" s="506">
        <v>2330713</v>
      </c>
      <c r="B1067" s="507" t="s">
        <v>2855</v>
      </c>
      <c r="C1067" s="514">
        <v>0</v>
      </c>
      <c r="D1067" s="514">
        <v>0</v>
      </c>
      <c r="E1067" s="514">
        <v>0</v>
      </c>
      <c r="F1067" s="514">
        <v>0</v>
      </c>
      <c r="G1067" s="514">
        <v>0</v>
      </c>
      <c r="H1067" s="514">
        <v>0</v>
      </c>
      <c r="I1067" s="514">
        <v>0</v>
      </c>
      <c r="J1067" s="514">
        <v>0</v>
      </c>
      <c r="K1067" s="514">
        <v>0</v>
      </c>
      <c r="L1067" s="514">
        <v>0</v>
      </c>
      <c r="M1067" s="514">
        <v>0</v>
      </c>
      <c r="N1067" s="514">
        <v>0</v>
      </c>
      <c r="O1067" s="499"/>
      <c r="P1067" s="499"/>
      <c r="Q1067" s="499"/>
    </row>
    <row r="1068" spans="1:17" ht="14.4" x14ac:dyDescent="0.3">
      <c r="A1068" s="506">
        <v>2330714</v>
      </c>
      <c r="B1068" s="507" t="s">
        <v>2856</v>
      </c>
      <c r="C1068" s="514">
        <v>0</v>
      </c>
      <c r="D1068" s="514">
        <v>0</v>
      </c>
      <c r="E1068" s="514">
        <v>0</v>
      </c>
      <c r="F1068" s="514">
        <v>0</v>
      </c>
      <c r="G1068" s="514">
        <v>0</v>
      </c>
      <c r="H1068" s="514">
        <v>0</v>
      </c>
      <c r="I1068" s="514">
        <v>0</v>
      </c>
      <c r="J1068" s="514">
        <v>0</v>
      </c>
      <c r="K1068" s="514">
        <v>0</v>
      </c>
      <c r="L1068" s="514">
        <v>0</v>
      </c>
      <c r="M1068" s="514">
        <v>0</v>
      </c>
      <c r="N1068" s="514">
        <v>0</v>
      </c>
      <c r="O1068" s="499"/>
      <c r="P1068" s="499"/>
      <c r="Q1068" s="499"/>
    </row>
    <row r="1069" spans="1:17" ht="14.4" x14ac:dyDescent="0.3">
      <c r="A1069" s="506">
        <v>2330720</v>
      </c>
      <c r="B1069" s="507" t="s">
        <v>2857</v>
      </c>
      <c r="C1069" s="514">
        <v>0</v>
      </c>
      <c r="D1069" s="514">
        <v>0</v>
      </c>
      <c r="E1069" s="514">
        <v>0</v>
      </c>
      <c r="F1069" s="514">
        <v>0</v>
      </c>
      <c r="G1069" s="514">
        <v>0</v>
      </c>
      <c r="H1069" s="514">
        <v>0</v>
      </c>
      <c r="I1069" s="514">
        <v>0</v>
      </c>
      <c r="J1069" s="514">
        <v>0</v>
      </c>
      <c r="K1069" s="514">
        <v>0</v>
      </c>
      <c r="L1069" s="514">
        <v>0</v>
      </c>
      <c r="M1069" s="514">
        <v>0</v>
      </c>
      <c r="N1069" s="514">
        <v>0</v>
      </c>
      <c r="O1069" s="499"/>
      <c r="P1069" s="499"/>
      <c r="Q1069" s="499"/>
    </row>
    <row r="1070" spans="1:17" ht="14.4" x14ac:dyDescent="0.3">
      <c r="A1070" s="506">
        <v>2330721</v>
      </c>
      <c r="B1070" s="507" t="s">
        <v>2858</v>
      </c>
      <c r="C1070" s="514">
        <v>0</v>
      </c>
      <c r="D1070" s="514">
        <v>0</v>
      </c>
      <c r="E1070" s="514">
        <v>0</v>
      </c>
      <c r="F1070" s="514">
        <v>0</v>
      </c>
      <c r="G1070" s="514">
        <v>0</v>
      </c>
      <c r="H1070" s="514">
        <v>0</v>
      </c>
      <c r="I1070" s="514">
        <v>0</v>
      </c>
      <c r="J1070" s="514">
        <v>0</v>
      </c>
      <c r="K1070" s="514">
        <v>0</v>
      </c>
      <c r="L1070" s="514">
        <v>0</v>
      </c>
      <c r="M1070" s="514">
        <v>0</v>
      </c>
      <c r="N1070" s="514">
        <v>0</v>
      </c>
      <c r="O1070" s="499"/>
      <c r="P1070" s="499"/>
      <c r="Q1070" s="499"/>
    </row>
    <row r="1071" spans="1:17" ht="14.4" x14ac:dyDescent="0.3">
      <c r="A1071" s="506">
        <v>2340700</v>
      </c>
      <c r="B1071" s="507" t="s">
        <v>2859</v>
      </c>
      <c r="C1071" s="514">
        <v>4523413.1900000004</v>
      </c>
      <c r="D1071" s="514">
        <v>4700360.84</v>
      </c>
      <c r="E1071" s="514">
        <v>4817309.2300000004</v>
      </c>
      <c r="F1071" s="514">
        <v>4880365.92</v>
      </c>
      <c r="G1071" s="514">
        <v>4881672.07</v>
      </c>
      <c r="H1071" s="514">
        <v>4886305.41</v>
      </c>
      <c r="I1071" s="514">
        <v>5749922.3099999996</v>
      </c>
      <c r="J1071" s="514">
        <v>5887621.3700000001</v>
      </c>
      <c r="K1071" s="514">
        <v>5881380.4800000004</v>
      </c>
      <c r="L1071" s="514">
        <v>5903778.0800000001</v>
      </c>
      <c r="M1071" s="514">
        <v>5896546.0099999998</v>
      </c>
      <c r="N1071" s="514">
        <v>5611255</v>
      </c>
      <c r="O1071" s="499"/>
      <c r="P1071" s="499"/>
      <c r="Q1071" s="499"/>
    </row>
    <row r="1072" spans="1:17" ht="14.4" x14ac:dyDescent="0.3">
      <c r="A1072" s="508">
        <v>2340701</v>
      </c>
      <c r="B1072" s="509" t="s">
        <v>2860</v>
      </c>
      <c r="C1072" s="514">
        <v>930100.59</v>
      </c>
      <c r="D1072" s="514">
        <v>930100.59</v>
      </c>
      <c r="E1072" s="514">
        <v>930100.59</v>
      </c>
      <c r="F1072" s="514">
        <v>930100.59</v>
      </c>
      <c r="G1072" s="514">
        <v>930100.59</v>
      </c>
      <c r="H1072" s="514">
        <v>930100.59</v>
      </c>
      <c r="I1072" s="514">
        <v>930100.59</v>
      </c>
      <c r="J1072" s="514">
        <v>930100.59</v>
      </c>
      <c r="K1072" s="514">
        <v>930100.59</v>
      </c>
      <c r="L1072" s="514">
        <v>930100.59</v>
      </c>
      <c r="M1072" s="514">
        <v>930100.59</v>
      </c>
      <c r="N1072" s="514">
        <v>930100.59</v>
      </c>
      <c r="O1072" s="499"/>
      <c r="P1072" s="499"/>
      <c r="Q1072" s="499"/>
    </row>
    <row r="1073" spans="1:17" ht="14.4" x14ac:dyDescent="0.3">
      <c r="A1073" s="506">
        <v>2340703</v>
      </c>
      <c r="B1073" s="507" t="s">
        <v>2861</v>
      </c>
      <c r="C1073" s="514">
        <v>0</v>
      </c>
      <c r="D1073" s="514">
        <v>0</v>
      </c>
      <c r="E1073" s="514">
        <v>0</v>
      </c>
      <c r="F1073" s="514">
        <v>0</v>
      </c>
      <c r="G1073" s="514">
        <v>0</v>
      </c>
      <c r="H1073" s="514">
        <v>0</v>
      </c>
      <c r="I1073" s="514">
        <v>0</v>
      </c>
      <c r="J1073" s="514">
        <v>0</v>
      </c>
      <c r="K1073" s="514">
        <v>0</v>
      </c>
      <c r="L1073" s="514">
        <v>0</v>
      </c>
      <c r="M1073" s="514">
        <v>0</v>
      </c>
      <c r="N1073" s="514">
        <v>0</v>
      </c>
      <c r="O1073" s="499"/>
      <c r="P1073" s="499"/>
      <c r="Q1073" s="499"/>
    </row>
    <row r="1074" spans="1:17" ht="14.4" x14ac:dyDescent="0.3">
      <c r="A1074" s="506">
        <v>2340710</v>
      </c>
      <c r="B1074" s="507" t="s">
        <v>2862</v>
      </c>
      <c r="C1074" s="514">
        <v>0</v>
      </c>
      <c r="D1074" s="514">
        <v>0</v>
      </c>
      <c r="E1074" s="514">
        <v>0</v>
      </c>
      <c r="F1074" s="514">
        <v>0</v>
      </c>
      <c r="G1074" s="514">
        <v>0</v>
      </c>
      <c r="H1074" s="514">
        <v>0</v>
      </c>
      <c r="I1074" s="514">
        <v>0</v>
      </c>
      <c r="J1074" s="514">
        <v>0</v>
      </c>
      <c r="K1074" s="514">
        <v>0</v>
      </c>
      <c r="L1074" s="514">
        <v>0</v>
      </c>
      <c r="M1074" s="514">
        <v>0</v>
      </c>
      <c r="N1074" s="514">
        <v>0</v>
      </c>
      <c r="O1074" s="499"/>
      <c r="P1074" s="499"/>
      <c r="Q1074" s="499"/>
    </row>
    <row r="1075" spans="1:17" ht="14.4" x14ac:dyDescent="0.3">
      <c r="A1075" s="502">
        <v>2340711</v>
      </c>
      <c r="B1075" s="503" t="s">
        <v>2863</v>
      </c>
      <c r="C1075" s="514">
        <v>4076096.09</v>
      </c>
      <c r="D1075" s="514">
        <v>3775360.85</v>
      </c>
      <c r="E1075" s="514">
        <v>3675904.81</v>
      </c>
      <c r="F1075" s="514">
        <v>3616693.93</v>
      </c>
      <c r="G1075" s="514">
        <v>4802588.7300000004</v>
      </c>
      <c r="H1075" s="514">
        <v>5875508.79</v>
      </c>
      <c r="I1075" s="514">
        <v>6301464.71</v>
      </c>
      <c r="J1075" s="514">
        <v>6353573.4400000004</v>
      </c>
      <c r="K1075" s="514">
        <v>6087340.0499999998</v>
      </c>
      <c r="L1075" s="514">
        <v>5086145.88</v>
      </c>
      <c r="M1075" s="514">
        <v>4111430.55</v>
      </c>
      <c r="N1075" s="514">
        <v>4471341.53</v>
      </c>
      <c r="O1075" s="499"/>
      <c r="P1075" s="499"/>
      <c r="Q1075" s="499"/>
    </row>
    <row r="1076" spans="1:17" ht="14.4" x14ac:dyDescent="0.3">
      <c r="A1076" s="502">
        <v>2340720</v>
      </c>
      <c r="B1076" s="503" t="s">
        <v>2864</v>
      </c>
      <c r="C1076" s="514">
        <v>0</v>
      </c>
      <c r="D1076" s="514">
        <v>0</v>
      </c>
      <c r="E1076" s="514">
        <v>0</v>
      </c>
      <c r="F1076" s="514">
        <v>0</v>
      </c>
      <c r="G1076" s="514">
        <v>0</v>
      </c>
      <c r="H1076" s="514">
        <v>0</v>
      </c>
      <c r="I1076" s="514">
        <v>0</v>
      </c>
      <c r="J1076" s="514">
        <v>0</v>
      </c>
      <c r="K1076" s="514">
        <v>0</v>
      </c>
      <c r="L1076" s="514">
        <v>0</v>
      </c>
      <c r="M1076" s="514">
        <v>0</v>
      </c>
      <c r="N1076" s="514">
        <v>0</v>
      </c>
      <c r="O1076" s="499"/>
      <c r="P1076" s="499"/>
      <c r="Q1076" s="499"/>
    </row>
    <row r="1077" spans="1:17" ht="14.4" x14ac:dyDescent="0.3">
      <c r="A1077" s="502">
        <v>2340721</v>
      </c>
      <c r="B1077" s="503" t="s">
        <v>2865</v>
      </c>
      <c r="C1077" s="514">
        <v>0</v>
      </c>
      <c r="D1077" s="514">
        <v>0</v>
      </c>
      <c r="E1077" s="514">
        <v>0</v>
      </c>
      <c r="F1077" s="514">
        <v>0</v>
      </c>
      <c r="G1077" s="514">
        <v>0</v>
      </c>
      <c r="H1077" s="514">
        <v>0</v>
      </c>
      <c r="I1077" s="514">
        <v>0</v>
      </c>
      <c r="J1077" s="514">
        <v>0</v>
      </c>
      <c r="K1077" s="514">
        <v>0</v>
      </c>
      <c r="L1077" s="514">
        <v>0</v>
      </c>
      <c r="M1077" s="514">
        <v>0</v>
      </c>
      <c r="N1077" s="514">
        <v>0</v>
      </c>
      <c r="O1077" s="499"/>
      <c r="P1077" s="499"/>
      <c r="Q1077" s="499"/>
    </row>
    <row r="1078" spans="1:17" ht="14.4" x14ac:dyDescent="0.3">
      <c r="A1078" s="502">
        <v>2340740</v>
      </c>
      <c r="B1078" s="503" t="s">
        <v>2866</v>
      </c>
      <c r="C1078" s="514">
        <v>0</v>
      </c>
      <c r="D1078" s="514">
        <v>0</v>
      </c>
      <c r="E1078" s="514">
        <v>0</v>
      </c>
      <c r="F1078" s="514">
        <v>0</v>
      </c>
      <c r="G1078" s="514">
        <v>0</v>
      </c>
      <c r="H1078" s="514">
        <v>0</v>
      </c>
      <c r="I1078" s="514">
        <v>0</v>
      </c>
      <c r="J1078" s="514">
        <v>0</v>
      </c>
      <c r="K1078" s="514">
        <v>0</v>
      </c>
      <c r="L1078" s="514">
        <v>0</v>
      </c>
      <c r="M1078" s="514">
        <v>0</v>
      </c>
      <c r="N1078" s="514">
        <v>0</v>
      </c>
      <c r="O1078" s="499"/>
      <c r="P1078" s="499"/>
      <c r="Q1078" s="499"/>
    </row>
    <row r="1079" spans="1:17" ht="14.4" x14ac:dyDescent="0.3">
      <c r="A1079" s="502">
        <v>2340741</v>
      </c>
      <c r="B1079" s="503" t="s">
        <v>2867</v>
      </c>
      <c r="C1079" s="514">
        <v>0</v>
      </c>
      <c r="D1079" s="514">
        <v>0</v>
      </c>
      <c r="E1079" s="514">
        <v>0</v>
      </c>
      <c r="F1079" s="514">
        <v>0</v>
      </c>
      <c r="G1079" s="514">
        <v>0</v>
      </c>
      <c r="H1079" s="514">
        <v>0</v>
      </c>
      <c r="I1079" s="514">
        <v>0</v>
      </c>
      <c r="J1079" s="514">
        <v>0</v>
      </c>
      <c r="K1079" s="514">
        <v>0</v>
      </c>
      <c r="L1079" s="514">
        <v>0</v>
      </c>
      <c r="M1079" s="514">
        <v>0</v>
      </c>
      <c r="N1079" s="514">
        <v>0</v>
      </c>
      <c r="O1079" s="499"/>
      <c r="P1079" s="499"/>
      <c r="Q1079" s="499"/>
    </row>
    <row r="1080" spans="1:17" ht="14.4" x14ac:dyDescent="0.3">
      <c r="A1080" s="502">
        <v>2340742</v>
      </c>
      <c r="B1080" s="503" t="s">
        <v>2868</v>
      </c>
      <c r="C1080" s="514">
        <v>0</v>
      </c>
      <c r="D1080" s="514">
        <v>0</v>
      </c>
      <c r="E1080" s="514">
        <v>0</v>
      </c>
      <c r="F1080" s="514">
        <v>0</v>
      </c>
      <c r="G1080" s="514">
        <v>0</v>
      </c>
      <c r="H1080" s="514">
        <v>0</v>
      </c>
      <c r="I1080" s="514">
        <v>0</v>
      </c>
      <c r="J1080" s="514">
        <v>0</v>
      </c>
      <c r="K1080" s="514">
        <v>0</v>
      </c>
      <c r="L1080" s="514">
        <v>0</v>
      </c>
      <c r="M1080" s="514">
        <v>0</v>
      </c>
      <c r="N1080" s="514">
        <v>0</v>
      </c>
      <c r="O1080" s="499"/>
      <c r="P1080" s="499"/>
      <c r="Q1080" s="499"/>
    </row>
    <row r="1081" spans="1:17" ht="14.4" x14ac:dyDescent="0.3">
      <c r="A1081" s="502">
        <v>2340743</v>
      </c>
      <c r="B1081" s="503" t="s">
        <v>2869</v>
      </c>
      <c r="C1081" s="514">
        <v>0</v>
      </c>
      <c r="D1081" s="514">
        <v>0</v>
      </c>
      <c r="E1081" s="514">
        <v>0</v>
      </c>
      <c r="F1081" s="514">
        <v>0</v>
      </c>
      <c r="G1081" s="514">
        <v>0</v>
      </c>
      <c r="H1081" s="514">
        <v>0</v>
      </c>
      <c r="I1081" s="514">
        <v>0</v>
      </c>
      <c r="J1081" s="514">
        <v>0</v>
      </c>
      <c r="K1081" s="514">
        <v>0</v>
      </c>
      <c r="L1081" s="514">
        <v>0</v>
      </c>
      <c r="M1081" s="514">
        <v>0</v>
      </c>
      <c r="N1081" s="514">
        <v>0</v>
      </c>
      <c r="O1081" s="499"/>
      <c r="P1081" s="499"/>
      <c r="Q1081" s="499"/>
    </row>
    <row r="1082" spans="1:17" ht="14.4" x14ac:dyDescent="0.3">
      <c r="A1082" s="502">
        <v>2340799</v>
      </c>
      <c r="B1082" s="503" t="s">
        <v>2870</v>
      </c>
      <c r="C1082" s="514">
        <v>318823.77</v>
      </c>
      <c r="D1082" s="514">
        <v>296049.03000000003</v>
      </c>
      <c r="E1082" s="514">
        <v>274610.3</v>
      </c>
      <c r="F1082" s="514">
        <v>280127.37</v>
      </c>
      <c r="G1082" s="514">
        <v>284989.38</v>
      </c>
      <c r="H1082" s="514">
        <v>291420.37</v>
      </c>
      <c r="I1082" s="514">
        <v>297767.46000000002</v>
      </c>
      <c r="J1082" s="514">
        <v>303955.02</v>
      </c>
      <c r="K1082" s="514">
        <v>314116.99</v>
      </c>
      <c r="L1082" s="514">
        <v>320420.18</v>
      </c>
      <c r="M1082" s="514">
        <v>323972.21999999997</v>
      </c>
      <c r="N1082" s="514">
        <v>332017.74</v>
      </c>
      <c r="O1082" s="499"/>
      <c r="P1082" s="499"/>
      <c r="Q1082" s="499"/>
    </row>
    <row r="1083" spans="1:17" ht="14.4" x14ac:dyDescent="0.3">
      <c r="A1083" s="502">
        <v>2350100</v>
      </c>
      <c r="B1083" s="503" t="s">
        <v>2871</v>
      </c>
      <c r="C1083" s="514">
        <v>126502667.01000001</v>
      </c>
      <c r="D1083" s="514">
        <v>126555376.45999999</v>
      </c>
      <c r="E1083" s="514">
        <v>126608107.86</v>
      </c>
      <c r="F1083" s="514">
        <v>126660861.23999999</v>
      </c>
      <c r="G1083" s="514">
        <v>126713636.59999999</v>
      </c>
      <c r="H1083" s="514">
        <v>126766433.95</v>
      </c>
      <c r="I1083" s="514">
        <v>126819253.3</v>
      </c>
      <c r="J1083" s="514">
        <v>126872094.65000001</v>
      </c>
      <c r="K1083" s="514">
        <v>126924958.02</v>
      </c>
      <c r="L1083" s="514">
        <v>126977843.42</v>
      </c>
      <c r="M1083" s="514">
        <v>127030750.86</v>
      </c>
      <c r="N1083" s="514">
        <v>127083680.34</v>
      </c>
      <c r="O1083" s="499"/>
      <c r="P1083" s="499"/>
      <c r="Q1083" s="499"/>
    </row>
    <row r="1084" spans="1:17" ht="14.4" x14ac:dyDescent="0.3">
      <c r="A1084" s="502">
        <v>2350110</v>
      </c>
      <c r="B1084" s="503" t="s">
        <v>2872</v>
      </c>
      <c r="C1084" s="514">
        <v>0</v>
      </c>
      <c r="D1084" s="514">
        <v>0</v>
      </c>
      <c r="E1084" s="514">
        <v>0</v>
      </c>
      <c r="F1084" s="514">
        <v>0</v>
      </c>
      <c r="G1084" s="514">
        <v>0</v>
      </c>
      <c r="H1084" s="514">
        <v>0</v>
      </c>
      <c r="I1084" s="514">
        <v>0</v>
      </c>
      <c r="J1084" s="514">
        <v>0</v>
      </c>
      <c r="K1084" s="514">
        <v>0</v>
      </c>
      <c r="L1084" s="514">
        <v>0</v>
      </c>
      <c r="M1084" s="514">
        <v>0</v>
      </c>
      <c r="N1084" s="514">
        <v>0</v>
      </c>
      <c r="O1084" s="499"/>
      <c r="P1084" s="499"/>
      <c r="Q1084" s="499"/>
    </row>
    <row r="1085" spans="1:17" ht="14.4" x14ac:dyDescent="0.3">
      <c r="A1085" s="502">
        <v>2350200</v>
      </c>
      <c r="B1085" s="503" t="s">
        <v>2873</v>
      </c>
      <c r="C1085" s="514">
        <v>0</v>
      </c>
      <c r="D1085" s="514">
        <v>0</v>
      </c>
      <c r="E1085" s="514">
        <v>0</v>
      </c>
      <c r="F1085" s="514">
        <v>0</v>
      </c>
      <c r="G1085" s="514">
        <v>0</v>
      </c>
      <c r="H1085" s="514">
        <v>0</v>
      </c>
      <c r="I1085" s="514">
        <v>0</v>
      </c>
      <c r="J1085" s="514">
        <v>0</v>
      </c>
      <c r="K1085" s="514">
        <v>0</v>
      </c>
      <c r="L1085" s="514">
        <v>0</v>
      </c>
      <c r="M1085" s="514">
        <v>0</v>
      </c>
      <c r="N1085" s="514">
        <v>0</v>
      </c>
      <c r="O1085" s="499"/>
      <c r="P1085" s="499"/>
      <c r="Q1085" s="499"/>
    </row>
    <row r="1086" spans="1:17" ht="14.4" x14ac:dyDescent="0.3">
      <c r="A1086" s="502">
        <v>2350210</v>
      </c>
      <c r="B1086" s="503" t="s">
        <v>2874</v>
      </c>
      <c r="C1086" s="514">
        <v>0</v>
      </c>
      <c r="D1086" s="514">
        <v>0</v>
      </c>
      <c r="E1086" s="514">
        <v>0</v>
      </c>
      <c r="F1086" s="514">
        <v>0</v>
      </c>
      <c r="G1086" s="514">
        <v>0</v>
      </c>
      <c r="H1086" s="514">
        <v>0</v>
      </c>
      <c r="I1086" s="514">
        <v>0</v>
      </c>
      <c r="J1086" s="514">
        <v>0</v>
      </c>
      <c r="K1086" s="514">
        <v>0</v>
      </c>
      <c r="L1086" s="514">
        <v>0</v>
      </c>
      <c r="M1086" s="514">
        <v>0</v>
      </c>
      <c r="N1086" s="514">
        <v>0</v>
      </c>
      <c r="O1086" s="499"/>
      <c r="P1086" s="499"/>
      <c r="Q1086" s="499"/>
    </row>
    <row r="1087" spans="1:17" ht="14.4" x14ac:dyDescent="0.3">
      <c r="A1087" s="502">
        <v>2360310</v>
      </c>
      <c r="B1087" s="503" t="s">
        <v>2875</v>
      </c>
      <c r="C1087" s="514">
        <v>7180447.5499999998</v>
      </c>
      <c r="D1087" s="514">
        <v>9347995.1199999992</v>
      </c>
      <c r="E1087" s="514">
        <v>17536046.149999999</v>
      </c>
      <c r="F1087" s="514">
        <v>19511638.920000002</v>
      </c>
      <c r="G1087" s="514">
        <v>16486936.52</v>
      </c>
      <c r="H1087" s="514">
        <v>10849193.49</v>
      </c>
      <c r="I1087" s="514">
        <v>3891587.95</v>
      </c>
      <c r="J1087" s="514">
        <v>3282883.95</v>
      </c>
      <c r="K1087" s="514">
        <v>6101878.5099999998</v>
      </c>
      <c r="L1087" s="514">
        <v>7135483.04</v>
      </c>
      <c r="M1087" s="514">
        <v>3519602.13</v>
      </c>
      <c r="N1087" s="514">
        <v>0.09</v>
      </c>
      <c r="O1087" s="499"/>
      <c r="P1087" s="499"/>
      <c r="Q1087" s="499"/>
    </row>
    <row r="1088" spans="1:17" ht="14.4" x14ac:dyDescent="0.3">
      <c r="A1088" s="502">
        <v>2360311</v>
      </c>
      <c r="B1088" s="503" t="s">
        <v>2875</v>
      </c>
      <c r="C1088" s="514">
        <v>0</v>
      </c>
      <c r="D1088" s="514">
        <v>0</v>
      </c>
      <c r="E1088" s="514">
        <v>0</v>
      </c>
      <c r="F1088" s="514">
        <v>0</v>
      </c>
      <c r="G1088" s="514">
        <v>0</v>
      </c>
      <c r="H1088" s="514">
        <v>0</v>
      </c>
      <c r="I1088" s="514">
        <v>0</v>
      </c>
      <c r="J1088" s="514">
        <v>0</v>
      </c>
      <c r="K1088" s="514">
        <v>0</v>
      </c>
      <c r="L1088" s="514">
        <v>0</v>
      </c>
      <c r="M1088" s="514">
        <v>0</v>
      </c>
      <c r="N1088" s="514">
        <v>0</v>
      </c>
      <c r="O1088" s="499"/>
      <c r="P1088" s="499"/>
      <c r="Q1088" s="499"/>
    </row>
    <row r="1089" spans="1:17" ht="14.4" x14ac:dyDescent="0.3">
      <c r="A1089" s="502">
        <v>2360320</v>
      </c>
      <c r="B1089" s="503" t="s">
        <v>2876</v>
      </c>
      <c r="C1089" s="514">
        <v>0</v>
      </c>
      <c r="D1089" s="514">
        <v>0</v>
      </c>
      <c r="E1089" s="514">
        <v>0</v>
      </c>
      <c r="F1089" s="514">
        <v>0</v>
      </c>
      <c r="G1089" s="514">
        <v>0</v>
      </c>
      <c r="H1089" s="514">
        <v>0</v>
      </c>
      <c r="I1089" s="514">
        <v>0</v>
      </c>
      <c r="J1089" s="514">
        <v>0</v>
      </c>
      <c r="K1089" s="514">
        <v>0</v>
      </c>
      <c r="L1089" s="514">
        <v>0</v>
      </c>
      <c r="M1089" s="514">
        <v>0</v>
      </c>
      <c r="N1089" s="514">
        <v>0</v>
      </c>
      <c r="O1089" s="499"/>
      <c r="P1089" s="499"/>
      <c r="Q1089" s="499"/>
    </row>
    <row r="1090" spans="1:17" ht="14.4" x14ac:dyDescent="0.3">
      <c r="A1090" s="502">
        <v>2360321</v>
      </c>
      <c r="B1090" s="503" t="s">
        <v>2877</v>
      </c>
      <c r="C1090" s="514">
        <v>0</v>
      </c>
      <c r="D1090" s="514">
        <v>0</v>
      </c>
      <c r="E1090" s="514">
        <v>0</v>
      </c>
      <c r="F1090" s="514">
        <v>0</v>
      </c>
      <c r="G1090" s="514">
        <v>0</v>
      </c>
      <c r="H1090" s="514">
        <v>0</v>
      </c>
      <c r="I1090" s="514">
        <v>0</v>
      </c>
      <c r="J1090" s="514">
        <v>0</v>
      </c>
      <c r="K1090" s="514">
        <v>0</v>
      </c>
      <c r="L1090" s="514">
        <v>0</v>
      </c>
      <c r="M1090" s="514">
        <v>0</v>
      </c>
      <c r="N1090" s="514">
        <v>0</v>
      </c>
      <c r="O1090" s="499"/>
      <c r="P1090" s="499"/>
      <c r="Q1090" s="499"/>
    </row>
    <row r="1091" spans="1:17" ht="14.4" x14ac:dyDescent="0.3">
      <c r="A1091" s="502">
        <v>2360410</v>
      </c>
      <c r="B1091" s="503" t="s">
        <v>2878</v>
      </c>
      <c r="C1091" s="514">
        <v>2077109.87</v>
      </c>
      <c r="D1091" s="514">
        <v>2764905.05</v>
      </c>
      <c r="E1091" s="514">
        <v>5121270.0999999996</v>
      </c>
      <c r="F1091" s="514">
        <v>5494673.29</v>
      </c>
      <c r="G1091" s="514">
        <v>4743447.32</v>
      </c>
      <c r="H1091" s="514">
        <v>3006831.51</v>
      </c>
      <c r="I1091" s="514">
        <v>1165609.71</v>
      </c>
      <c r="J1091" s="514">
        <v>735716.15</v>
      </c>
      <c r="K1091" s="514">
        <v>1691122.47</v>
      </c>
      <c r="L1091" s="514">
        <v>1890519.86</v>
      </c>
      <c r="M1091" s="514">
        <v>801322.14</v>
      </c>
      <c r="N1091" s="514">
        <v>0.03</v>
      </c>
      <c r="O1091" s="499"/>
      <c r="P1091" s="499"/>
      <c r="Q1091" s="499"/>
    </row>
    <row r="1092" spans="1:17" ht="14.4" x14ac:dyDescent="0.3">
      <c r="A1092" s="502">
        <v>2360411</v>
      </c>
      <c r="B1092" s="503" t="s">
        <v>2879</v>
      </c>
      <c r="C1092" s="514">
        <v>0</v>
      </c>
      <c r="D1092" s="514">
        <v>0</v>
      </c>
      <c r="E1092" s="514">
        <v>0</v>
      </c>
      <c r="F1092" s="514">
        <v>0</v>
      </c>
      <c r="G1092" s="514">
        <v>0</v>
      </c>
      <c r="H1092" s="514">
        <v>0</v>
      </c>
      <c r="I1092" s="514">
        <v>0</v>
      </c>
      <c r="J1092" s="514">
        <v>0</v>
      </c>
      <c r="K1092" s="514">
        <v>0</v>
      </c>
      <c r="L1092" s="514">
        <v>0</v>
      </c>
      <c r="M1092" s="514">
        <v>0</v>
      </c>
      <c r="N1092" s="514">
        <v>0</v>
      </c>
      <c r="O1092" s="499"/>
      <c r="P1092" s="499"/>
      <c r="Q1092" s="499"/>
    </row>
    <row r="1093" spans="1:17" ht="14.4" x14ac:dyDescent="0.3">
      <c r="A1093" s="502">
        <v>2360420</v>
      </c>
      <c r="B1093" s="503" t="s">
        <v>2880</v>
      </c>
      <c r="C1093" s="514">
        <v>0</v>
      </c>
      <c r="D1093" s="514">
        <v>0</v>
      </c>
      <c r="E1093" s="514">
        <v>0</v>
      </c>
      <c r="F1093" s="514">
        <v>0</v>
      </c>
      <c r="G1093" s="514">
        <v>0</v>
      </c>
      <c r="H1093" s="514">
        <v>0</v>
      </c>
      <c r="I1093" s="514">
        <v>0</v>
      </c>
      <c r="J1093" s="514">
        <v>0</v>
      </c>
      <c r="K1093" s="514">
        <v>0</v>
      </c>
      <c r="L1093" s="514">
        <v>0</v>
      </c>
      <c r="M1093" s="514">
        <v>0</v>
      </c>
      <c r="N1093" s="514">
        <v>0</v>
      </c>
      <c r="O1093" s="499"/>
      <c r="P1093" s="499"/>
      <c r="Q1093" s="499"/>
    </row>
    <row r="1094" spans="1:17" ht="14.4" x14ac:dyDescent="0.3">
      <c r="A1094" s="502">
        <v>2360421</v>
      </c>
      <c r="B1094" s="503" t="s">
        <v>2881</v>
      </c>
      <c r="C1094" s="514">
        <v>0</v>
      </c>
      <c r="D1094" s="514">
        <v>0</v>
      </c>
      <c r="E1094" s="514">
        <v>0</v>
      </c>
      <c r="F1094" s="514">
        <v>0</v>
      </c>
      <c r="G1094" s="514">
        <v>0</v>
      </c>
      <c r="H1094" s="514">
        <v>0</v>
      </c>
      <c r="I1094" s="514">
        <v>0</v>
      </c>
      <c r="J1094" s="514">
        <v>0</v>
      </c>
      <c r="K1094" s="514">
        <v>0</v>
      </c>
      <c r="L1094" s="514">
        <v>0</v>
      </c>
      <c r="M1094" s="514">
        <v>0</v>
      </c>
      <c r="N1094" s="514">
        <v>0</v>
      </c>
      <c r="O1094" s="499"/>
      <c r="P1094" s="499"/>
      <c r="Q1094" s="499"/>
    </row>
    <row r="1095" spans="1:17" ht="14.4" x14ac:dyDescent="0.3">
      <c r="A1095" s="502">
        <v>2360500</v>
      </c>
      <c r="B1095" s="503" t="s">
        <v>2882</v>
      </c>
      <c r="C1095" s="514">
        <v>0</v>
      </c>
      <c r="D1095" s="514">
        <v>0</v>
      </c>
      <c r="E1095" s="514">
        <v>0</v>
      </c>
      <c r="F1095" s="514">
        <v>0</v>
      </c>
      <c r="G1095" s="514">
        <v>0</v>
      </c>
      <c r="H1095" s="514">
        <v>0</v>
      </c>
      <c r="I1095" s="514">
        <v>0</v>
      </c>
      <c r="J1095" s="514">
        <v>0</v>
      </c>
      <c r="K1095" s="514">
        <v>0</v>
      </c>
      <c r="L1095" s="514">
        <v>0</v>
      </c>
      <c r="M1095" s="514">
        <v>0</v>
      </c>
      <c r="N1095" s="514">
        <v>0</v>
      </c>
      <c r="O1095" s="499"/>
      <c r="P1095" s="499"/>
      <c r="Q1095" s="499"/>
    </row>
    <row r="1096" spans="1:17" ht="14.4" x14ac:dyDescent="0.3">
      <c r="A1096" s="502">
        <v>2360511</v>
      </c>
      <c r="B1096" s="503" t="s">
        <v>2883</v>
      </c>
      <c r="C1096" s="514">
        <v>0</v>
      </c>
      <c r="D1096" s="514">
        <v>0</v>
      </c>
      <c r="E1096" s="514">
        <v>0</v>
      </c>
      <c r="F1096" s="514">
        <v>0</v>
      </c>
      <c r="G1096" s="514">
        <v>0</v>
      </c>
      <c r="H1096" s="514">
        <v>0</v>
      </c>
      <c r="I1096" s="514">
        <v>0</v>
      </c>
      <c r="J1096" s="514">
        <v>0</v>
      </c>
      <c r="K1096" s="514">
        <v>0</v>
      </c>
      <c r="L1096" s="514">
        <v>0</v>
      </c>
      <c r="M1096" s="514">
        <v>0</v>
      </c>
      <c r="N1096" s="514">
        <v>0</v>
      </c>
      <c r="O1096" s="499"/>
      <c r="P1096" s="499"/>
      <c r="Q1096" s="499"/>
    </row>
    <row r="1097" spans="1:17" ht="14.4" x14ac:dyDescent="0.3">
      <c r="A1097" s="502">
        <v>2360521</v>
      </c>
      <c r="B1097" s="503" t="s">
        <v>2884</v>
      </c>
      <c r="C1097" s="514">
        <v>0</v>
      </c>
      <c r="D1097" s="514">
        <v>0</v>
      </c>
      <c r="E1097" s="514">
        <v>0</v>
      </c>
      <c r="F1097" s="514">
        <v>0</v>
      </c>
      <c r="G1097" s="514">
        <v>0</v>
      </c>
      <c r="H1097" s="514">
        <v>0</v>
      </c>
      <c r="I1097" s="514">
        <v>0</v>
      </c>
      <c r="J1097" s="514">
        <v>0</v>
      </c>
      <c r="K1097" s="514">
        <v>0</v>
      </c>
      <c r="L1097" s="514">
        <v>0</v>
      </c>
      <c r="M1097" s="514">
        <v>0</v>
      </c>
      <c r="N1097" s="514">
        <v>0</v>
      </c>
      <c r="O1097" s="499"/>
      <c r="P1097" s="499"/>
      <c r="Q1097" s="499"/>
    </row>
    <row r="1098" spans="1:17" ht="14.4" x14ac:dyDescent="0.3">
      <c r="A1098" s="502">
        <v>2360600</v>
      </c>
      <c r="B1098" s="503" t="s">
        <v>2885</v>
      </c>
      <c r="C1098" s="514">
        <v>0</v>
      </c>
      <c r="D1098" s="514">
        <v>0</v>
      </c>
      <c r="E1098" s="514">
        <v>0</v>
      </c>
      <c r="F1098" s="514">
        <v>0</v>
      </c>
      <c r="G1098" s="514">
        <v>0</v>
      </c>
      <c r="H1098" s="514">
        <v>0</v>
      </c>
      <c r="I1098" s="514">
        <v>0</v>
      </c>
      <c r="J1098" s="514">
        <v>0</v>
      </c>
      <c r="K1098" s="514">
        <v>0</v>
      </c>
      <c r="L1098" s="514">
        <v>0</v>
      </c>
      <c r="M1098" s="514">
        <v>0</v>
      </c>
      <c r="N1098" s="514">
        <v>0</v>
      </c>
      <c r="O1098" s="499"/>
      <c r="P1098" s="499"/>
      <c r="Q1098" s="499"/>
    </row>
    <row r="1099" spans="1:17" ht="14.4" x14ac:dyDescent="0.3">
      <c r="A1099" s="502">
        <v>2360601</v>
      </c>
      <c r="B1099" s="503" t="s">
        <v>2886</v>
      </c>
      <c r="C1099" s="514">
        <v>0</v>
      </c>
      <c r="D1099" s="514">
        <v>0</v>
      </c>
      <c r="E1099" s="514">
        <v>0</v>
      </c>
      <c r="F1099" s="514">
        <v>0</v>
      </c>
      <c r="G1099" s="514">
        <v>0</v>
      </c>
      <c r="H1099" s="514">
        <v>0</v>
      </c>
      <c r="I1099" s="514">
        <v>0</v>
      </c>
      <c r="J1099" s="514">
        <v>0</v>
      </c>
      <c r="K1099" s="514">
        <v>0</v>
      </c>
      <c r="L1099" s="514">
        <v>0</v>
      </c>
      <c r="M1099" s="514">
        <v>0</v>
      </c>
      <c r="N1099" s="514">
        <v>0</v>
      </c>
      <c r="O1099" s="499"/>
      <c r="P1099" s="499"/>
      <c r="Q1099" s="499"/>
    </row>
    <row r="1100" spans="1:17" ht="14.4" x14ac:dyDescent="0.3">
      <c r="A1100" s="502">
        <v>2360602</v>
      </c>
      <c r="B1100" s="503" t="s">
        <v>2887</v>
      </c>
      <c r="C1100" s="514">
        <v>140433.26</v>
      </c>
      <c r="D1100" s="514">
        <v>271073.27</v>
      </c>
      <c r="E1100" s="514">
        <v>397647.99</v>
      </c>
      <c r="F1100" s="514">
        <v>530659.89</v>
      </c>
      <c r="G1100" s="514">
        <v>677794.65</v>
      </c>
      <c r="H1100" s="514">
        <v>848010.91</v>
      </c>
      <c r="I1100" s="514">
        <v>179266.77</v>
      </c>
      <c r="J1100" s="514">
        <v>357249.82</v>
      </c>
      <c r="K1100" s="514">
        <v>539793.32999999996</v>
      </c>
      <c r="L1100" s="514">
        <v>703266.45</v>
      </c>
      <c r="M1100" s="514">
        <v>843353.53</v>
      </c>
      <c r="N1100" s="514">
        <v>976873.87</v>
      </c>
      <c r="O1100" s="499"/>
      <c r="P1100" s="499"/>
      <c r="Q1100" s="499"/>
    </row>
    <row r="1101" spans="1:17" ht="14.4" x14ac:dyDescent="0.3">
      <c r="A1101" s="502">
        <v>2360603</v>
      </c>
      <c r="B1101" s="503" t="s">
        <v>2888</v>
      </c>
      <c r="C1101" s="514">
        <v>4709441.18</v>
      </c>
      <c r="D1101" s="514">
        <v>4369452.25</v>
      </c>
      <c r="E1101" s="514">
        <v>4227222.88</v>
      </c>
      <c r="F1101" s="514">
        <v>4449142.1500000004</v>
      </c>
      <c r="G1101" s="514">
        <v>4939861.63</v>
      </c>
      <c r="H1101" s="514">
        <v>5740267.54</v>
      </c>
      <c r="I1101" s="514">
        <v>6054590.6399999997</v>
      </c>
      <c r="J1101" s="514">
        <v>6009853.6900000004</v>
      </c>
      <c r="K1101" s="514">
        <v>6168931.29</v>
      </c>
      <c r="L1101" s="514">
        <v>5505644.0599999996</v>
      </c>
      <c r="M1101" s="514">
        <v>4694364.96</v>
      </c>
      <c r="N1101" s="514">
        <v>4465303.82</v>
      </c>
      <c r="O1101" s="499"/>
      <c r="P1101" s="499"/>
      <c r="Q1101" s="499"/>
    </row>
    <row r="1102" spans="1:17" ht="14.4" x14ac:dyDescent="0.3">
      <c r="A1102" s="502">
        <v>2360604</v>
      </c>
      <c r="B1102" s="503" t="s">
        <v>2889</v>
      </c>
      <c r="C1102" s="514">
        <v>7567237</v>
      </c>
      <c r="D1102" s="514">
        <v>15134474</v>
      </c>
      <c r="E1102" s="514">
        <v>22701711</v>
      </c>
      <c r="F1102" s="514">
        <v>30268948</v>
      </c>
      <c r="G1102" s="514">
        <v>37836185</v>
      </c>
      <c r="H1102" s="514">
        <v>45403422</v>
      </c>
      <c r="I1102" s="514">
        <v>52970659</v>
      </c>
      <c r="J1102" s="514">
        <v>60537896</v>
      </c>
      <c r="K1102" s="514">
        <v>68105133</v>
      </c>
      <c r="L1102" s="514">
        <v>75672370</v>
      </c>
      <c r="M1102" s="514">
        <v>7567237</v>
      </c>
      <c r="N1102" s="514">
        <v>0</v>
      </c>
      <c r="O1102" s="499"/>
      <c r="P1102" s="499"/>
      <c r="Q1102" s="499"/>
    </row>
    <row r="1103" spans="1:17" ht="14.4" x14ac:dyDescent="0.3">
      <c r="A1103" s="502">
        <v>2360605</v>
      </c>
      <c r="B1103" s="503" t="s">
        <v>2890</v>
      </c>
      <c r="C1103" s="514">
        <v>4481124.3499999996</v>
      </c>
      <c r="D1103" s="514">
        <v>4197962.47</v>
      </c>
      <c r="E1103" s="514">
        <v>4090715.82</v>
      </c>
      <c r="F1103" s="514">
        <v>4295952.28</v>
      </c>
      <c r="G1103" s="514">
        <v>4716063.5999999996</v>
      </c>
      <c r="H1103" s="514">
        <v>5399834.3200000003</v>
      </c>
      <c r="I1103" s="514">
        <v>5662607.1600000001</v>
      </c>
      <c r="J1103" s="514">
        <v>5629286.0199999996</v>
      </c>
      <c r="K1103" s="514">
        <v>5762106.2300000004</v>
      </c>
      <c r="L1103" s="514">
        <v>5208305.9000000004</v>
      </c>
      <c r="M1103" s="514">
        <v>4515048.13</v>
      </c>
      <c r="N1103" s="514">
        <v>4298924.9400000004</v>
      </c>
      <c r="O1103" s="499"/>
      <c r="P1103" s="499"/>
      <c r="Q1103" s="499"/>
    </row>
    <row r="1104" spans="1:17" ht="14.4" x14ac:dyDescent="0.3">
      <c r="A1104" s="502">
        <v>2360606</v>
      </c>
      <c r="B1104" s="503" t="s">
        <v>2891</v>
      </c>
      <c r="C1104" s="514">
        <v>1000</v>
      </c>
      <c r="D1104" s="514">
        <v>0</v>
      </c>
      <c r="E1104" s="514">
        <v>0</v>
      </c>
      <c r="F1104" s="514">
        <v>0</v>
      </c>
      <c r="G1104" s="514">
        <v>0</v>
      </c>
      <c r="H1104" s="514">
        <v>0</v>
      </c>
      <c r="I1104" s="514">
        <v>36000</v>
      </c>
      <c r="J1104" s="514">
        <v>13000</v>
      </c>
      <c r="K1104" s="514">
        <v>0</v>
      </c>
      <c r="L1104" s="514">
        <v>0</v>
      </c>
      <c r="M1104" s="514">
        <v>1000</v>
      </c>
      <c r="N1104" s="514">
        <v>0</v>
      </c>
      <c r="O1104" s="499"/>
      <c r="P1104" s="499"/>
      <c r="Q1104" s="499"/>
    </row>
    <row r="1105" spans="1:17" ht="14.4" x14ac:dyDescent="0.3">
      <c r="A1105" s="502">
        <v>2360620</v>
      </c>
      <c r="B1105" s="503" t="s">
        <v>2892</v>
      </c>
      <c r="C1105" s="514">
        <v>0</v>
      </c>
      <c r="D1105" s="514">
        <v>0</v>
      </c>
      <c r="E1105" s="514">
        <v>0</v>
      </c>
      <c r="F1105" s="514">
        <v>0</v>
      </c>
      <c r="G1105" s="514">
        <v>0</v>
      </c>
      <c r="H1105" s="514">
        <v>0</v>
      </c>
      <c r="I1105" s="514">
        <v>0</v>
      </c>
      <c r="J1105" s="514">
        <v>0</v>
      </c>
      <c r="K1105" s="514">
        <v>0</v>
      </c>
      <c r="L1105" s="514">
        <v>0</v>
      </c>
      <c r="M1105" s="514">
        <v>0</v>
      </c>
      <c r="N1105" s="514">
        <v>0</v>
      </c>
      <c r="O1105" s="499"/>
      <c r="P1105" s="499"/>
      <c r="Q1105" s="499"/>
    </row>
    <row r="1106" spans="1:17" ht="14.4" x14ac:dyDescent="0.3">
      <c r="A1106" s="502">
        <v>2360621</v>
      </c>
      <c r="B1106" s="503" t="s">
        <v>2893</v>
      </c>
      <c r="C1106" s="514">
        <v>0</v>
      </c>
      <c r="D1106" s="514">
        <v>0</v>
      </c>
      <c r="E1106" s="514">
        <v>0</v>
      </c>
      <c r="F1106" s="514">
        <v>0</v>
      </c>
      <c r="G1106" s="514">
        <v>0</v>
      </c>
      <c r="H1106" s="514">
        <v>0</v>
      </c>
      <c r="I1106" s="514">
        <v>0</v>
      </c>
      <c r="J1106" s="514">
        <v>0</v>
      </c>
      <c r="K1106" s="514">
        <v>0</v>
      </c>
      <c r="L1106" s="514">
        <v>0</v>
      </c>
      <c r="M1106" s="514">
        <v>0</v>
      </c>
      <c r="N1106" s="514">
        <v>0</v>
      </c>
      <c r="O1106" s="499"/>
      <c r="P1106" s="499"/>
      <c r="Q1106" s="499"/>
    </row>
    <row r="1107" spans="1:17" ht="14.4" x14ac:dyDescent="0.3">
      <c r="A1107" s="502">
        <v>2360690</v>
      </c>
      <c r="B1107" s="503" t="s">
        <v>2894</v>
      </c>
      <c r="C1107" s="514">
        <v>0</v>
      </c>
      <c r="D1107" s="514">
        <v>0</v>
      </c>
      <c r="E1107" s="514">
        <v>0</v>
      </c>
      <c r="F1107" s="514">
        <v>0</v>
      </c>
      <c r="G1107" s="514">
        <v>0</v>
      </c>
      <c r="H1107" s="514">
        <v>0</v>
      </c>
      <c r="I1107" s="514">
        <v>0</v>
      </c>
      <c r="J1107" s="514">
        <v>0</v>
      </c>
      <c r="K1107" s="514">
        <v>0</v>
      </c>
      <c r="L1107" s="514">
        <v>0</v>
      </c>
      <c r="M1107" s="514">
        <v>0</v>
      </c>
      <c r="N1107" s="514">
        <v>0</v>
      </c>
      <c r="O1107" s="499"/>
      <c r="P1107" s="499"/>
      <c r="Q1107" s="499"/>
    </row>
    <row r="1108" spans="1:17" ht="14.4" x14ac:dyDescent="0.3">
      <c r="A1108" s="502">
        <v>2360800</v>
      </c>
      <c r="B1108" s="503" t="s">
        <v>2895</v>
      </c>
      <c r="C1108" s="514">
        <v>17000</v>
      </c>
      <c r="D1108" s="514">
        <v>19000</v>
      </c>
      <c r="E1108" s="514">
        <v>17000</v>
      </c>
      <c r="F1108" s="514">
        <v>17000</v>
      </c>
      <c r="G1108" s="514">
        <v>17000</v>
      </c>
      <c r="H1108" s="514">
        <v>17000</v>
      </c>
      <c r="I1108" s="514">
        <v>17000</v>
      </c>
      <c r="J1108" s="514">
        <v>17000</v>
      </c>
      <c r="K1108" s="514">
        <v>29000</v>
      </c>
      <c r="L1108" s="514">
        <v>17000</v>
      </c>
      <c r="M1108" s="514">
        <v>17000</v>
      </c>
      <c r="N1108" s="514">
        <v>17000</v>
      </c>
      <c r="O1108" s="499"/>
      <c r="P1108" s="499"/>
      <c r="Q1108" s="499"/>
    </row>
    <row r="1109" spans="1:17" ht="14.4" x14ac:dyDescent="0.3">
      <c r="A1109" s="502">
        <v>2370110</v>
      </c>
      <c r="B1109" s="503" t="s">
        <v>2896</v>
      </c>
      <c r="C1109" s="514">
        <v>0</v>
      </c>
      <c r="D1109" s="514">
        <v>0</v>
      </c>
      <c r="E1109" s="514">
        <v>0</v>
      </c>
      <c r="F1109" s="514">
        <v>0</v>
      </c>
      <c r="G1109" s="514">
        <v>0</v>
      </c>
      <c r="H1109" s="514">
        <v>0</v>
      </c>
      <c r="I1109" s="514">
        <v>0</v>
      </c>
      <c r="J1109" s="514">
        <v>0</v>
      </c>
      <c r="K1109" s="514">
        <v>0</v>
      </c>
      <c r="L1109" s="514">
        <v>0</v>
      </c>
      <c r="M1109" s="514">
        <v>0</v>
      </c>
      <c r="N1109" s="514">
        <v>0</v>
      </c>
      <c r="O1109" s="499"/>
      <c r="P1109" s="499"/>
      <c r="Q1109" s="499"/>
    </row>
    <row r="1110" spans="1:17" ht="14.4" x14ac:dyDescent="0.3">
      <c r="A1110" s="502">
        <v>2370210</v>
      </c>
      <c r="B1110" s="503" t="s">
        <v>2897</v>
      </c>
      <c r="C1110" s="514">
        <v>0</v>
      </c>
      <c r="D1110" s="514">
        <v>0</v>
      </c>
      <c r="E1110" s="514">
        <v>0</v>
      </c>
      <c r="F1110" s="514">
        <v>0</v>
      </c>
      <c r="G1110" s="514">
        <v>0</v>
      </c>
      <c r="H1110" s="514">
        <v>0</v>
      </c>
      <c r="I1110" s="514">
        <v>0</v>
      </c>
      <c r="J1110" s="514">
        <v>0</v>
      </c>
      <c r="K1110" s="514">
        <v>0</v>
      </c>
      <c r="L1110" s="514">
        <v>0</v>
      </c>
      <c r="M1110" s="514">
        <v>0</v>
      </c>
      <c r="N1110" s="514">
        <v>0</v>
      </c>
      <c r="O1110" s="499"/>
      <c r="P1110" s="499"/>
      <c r="Q1110" s="499"/>
    </row>
    <row r="1111" spans="1:17" ht="14.4" x14ac:dyDescent="0.3">
      <c r="A1111" s="502">
        <v>2370300</v>
      </c>
      <c r="B1111" s="503" t="s">
        <v>2898</v>
      </c>
      <c r="C1111" s="514">
        <v>339242.02</v>
      </c>
      <c r="D1111" s="514">
        <v>575501.97</v>
      </c>
      <c r="E1111" s="514">
        <v>811867.66</v>
      </c>
      <c r="F1111" s="514">
        <v>1048339.14</v>
      </c>
      <c r="G1111" s="514">
        <v>1284916.45</v>
      </c>
      <c r="H1111" s="514">
        <v>1521599.64</v>
      </c>
      <c r="I1111" s="514">
        <v>1758388.75</v>
      </c>
      <c r="J1111" s="514">
        <v>1995283.82</v>
      </c>
      <c r="K1111" s="514">
        <v>2232284.91</v>
      </c>
      <c r="L1111" s="514">
        <v>2469392.04</v>
      </c>
      <c r="M1111" s="514">
        <v>2706605.27</v>
      </c>
      <c r="N1111" s="514">
        <v>103604.39</v>
      </c>
      <c r="O1111" s="499"/>
      <c r="P1111" s="499"/>
      <c r="Q1111" s="499"/>
    </row>
    <row r="1112" spans="1:17" ht="14.4" x14ac:dyDescent="0.3">
      <c r="A1112" s="502">
        <v>2370350</v>
      </c>
      <c r="B1112" s="503" t="s">
        <v>2899</v>
      </c>
      <c r="C1112" s="514">
        <v>1358800.87</v>
      </c>
      <c r="D1112" s="514">
        <v>1408118.65</v>
      </c>
      <c r="E1112" s="514">
        <v>1676112.22</v>
      </c>
      <c r="F1112" s="514">
        <v>1762605.86</v>
      </c>
      <c r="G1112" s="514">
        <v>1871050.23</v>
      </c>
      <c r="H1112" s="514">
        <v>327956.42</v>
      </c>
      <c r="I1112" s="514">
        <v>347610.64</v>
      </c>
      <c r="J1112" s="514">
        <v>359755.56</v>
      </c>
      <c r="K1112" s="514">
        <v>375412.79</v>
      </c>
      <c r="L1112" s="514">
        <v>346101.27</v>
      </c>
      <c r="M1112" s="514">
        <v>363130.48</v>
      </c>
      <c r="N1112" s="514">
        <v>423534.39</v>
      </c>
      <c r="O1112" s="499"/>
      <c r="P1112" s="499"/>
      <c r="Q1112" s="499"/>
    </row>
    <row r="1113" spans="1:17" ht="14.4" x14ac:dyDescent="0.3">
      <c r="A1113" s="502">
        <v>2370400</v>
      </c>
      <c r="B1113" s="503" t="s">
        <v>2900</v>
      </c>
      <c r="C1113" s="514">
        <v>28366145.66</v>
      </c>
      <c r="D1113" s="514">
        <v>41719270.659999996</v>
      </c>
      <c r="E1113" s="514">
        <v>43372395.659999996</v>
      </c>
      <c r="F1113" s="514">
        <v>58425520.659999996</v>
      </c>
      <c r="G1113" s="514">
        <v>45828645.659999996</v>
      </c>
      <c r="H1113" s="514">
        <v>33425520.66</v>
      </c>
      <c r="I1113" s="514">
        <v>34584895.659999996</v>
      </c>
      <c r="J1113" s="514">
        <v>48669270.659999996</v>
      </c>
      <c r="K1113" s="514">
        <v>42128645.659999996</v>
      </c>
      <c r="L1113" s="514">
        <v>57488020.659999996</v>
      </c>
      <c r="M1113" s="514">
        <v>45197395.659999996</v>
      </c>
      <c r="N1113" s="514">
        <v>33100520.66</v>
      </c>
      <c r="O1113" s="499"/>
      <c r="P1113" s="499"/>
      <c r="Q1113" s="499"/>
    </row>
    <row r="1114" spans="1:17" ht="14.4" x14ac:dyDescent="0.3">
      <c r="A1114" s="502">
        <v>2370410</v>
      </c>
      <c r="B1114" s="503" t="s">
        <v>2901</v>
      </c>
      <c r="C1114" s="514">
        <v>0</v>
      </c>
      <c r="D1114" s="514">
        <v>0</v>
      </c>
      <c r="E1114" s="514">
        <v>0</v>
      </c>
      <c r="F1114" s="514">
        <v>0</v>
      </c>
      <c r="G1114" s="514">
        <v>0</v>
      </c>
      <c r="H1114" s="514">
        <v>0</v>
      </c>
      <c r="I1114" s="514">
        <v>0</v>
      </c>
      <c r="J1114" s="514">
        <v>0</v>
      </c>
      <c r="K1114" s="514">
        <v>0</v>
      </c>
      <c r="L1114" s="514">
        <v>0</v>
      </c>
      <c r="M1114" s="514">
        <v>0</v>
      </c>
      <c r="N1114" s="514">
        <v>0</v>
      </c>
      <c r="O1114" s="499"/>
      <c r="P1114" s="499"/>
      <c r="Q1114" s="499"/>
    </row>
    <row r="1115" spans="1:17" ht="14.4" x14ac:dyDescent="0.3">
      <c r="A1115" s="502">
        <v>2370710</v>
      </c>
      <c r="B1115" s="503" t="s">
        <v>2902</v>
      </c>
      <c r="C1115" s="514">
        <v>0</v>
      </c>
      <c r="D1115" s="514">
        <v>0</v>
      </c>
      <c r="E1115" s="514">
        <v>0</v>
      </c>
      <c r="F1115" s="514">
        <v>0</v>
      </c>
      <c r="G1115" s="514">
        <v>0</v>
      </c>
      <c r="H1115" s="514">
        <v>0</v>
      </c>
      <c r="I1115" s="514">
        <v>0</v>
      </c>
      <c r="J1115" s="514">
        <v>0</v>
      </c>
      <c r="K1115" s="514">
        <v>0</v>
      </c>
      <c r="L1115" s="514">
        <v>0</v>
      </c>
      <c r="M1115" s="514">
        <v>0</v>
      </c>
      <c r="N1115" s="514">
        <v>0</v>
      </c>
      <c r="O1115" s="499"/>
      <c r="P1115" s="499"/>
      <c r="Q1115" s="499"/>
    </row>
    <row r="1116" spans="1:17" ht="14.4" x14ac:dyDescent="0.3">
      <c r="A1116" s="502">
        <v>2370711</v>
      </c>
      <c r="B1116" s="503" t="s">
        <v>2903</v>
      </c>
      <c r="C1116" s="514">
        <v>0</v>
      </c>
      <c r="D1116" s="514">
        <v>0</v>
      </c>
      <c r="E1116" s="514">
        <v>0</v>
      </c>
      <c r="F1116" s="514">
        <v>0</v>
      </c>
      <c r="G1116" s="514">
        <v>0</v>
      </c>
      <c r="H1116" s="514">
        <v>0</v>
      </c>
      <c r="I1116" s="514">
        <v>0</v>
      </c>
      <c r="J1116" s="514">
        <v>0</v>
      </c>
      <c r="K1116" s="514">
        <v>0</v>
      </c>
      <c r="L1116" s="514">
        <v>0</v>
      </c>
      <c r="M1116" s="514">
        <v>0</v>
      </c>
      <c r="N1116" s="514">
        <v>0</v>
      </c>
      <c r="O1116" s="499"/>
      <c r="P1116" s="499"/>
      <c r="Q1116" s="499"/>
    </row>
    <row r="1117" spans="1:17" ht="14.4" x14ac:dyDescent="0.3">
      <c r="A1117" s="502">
        <v>2370713</v>
      </c>
      <c r="B1117" s="503" t="s">
        <v>2904</v>
      </c>
      <c r="C1117" s="514">
        <v>0</v>
      </c>
      <c r="D1117" s="514">
        <v>0</v>
      </c>
      <c r="E1117" s="514">
        <v>0</v>
      </c>
      <c r="F1117" s="514">
        <v>0</v>
      </c>
      <c r="G1117" s="514">
        <v>0</v>
      </c>
      <c r="H1117" s="514">
        <v>0</v>
      </c>
      <c r="I1117" s="514">
        <v>0</v>
      </c>
      <c r="J1117" s="514">
        <v>0</v>
      </c>
      <c r="K1117" s="514">
        <v>0</v>
      </c>
      <c r="L1117" s="514">
        <v>0</v>
      </c>
      <c r="M1117" s="514">
        <v>0</v>
      </c>
      <c r="N1117" s="514">
        <v>0</v>
      </c>
      <c r="O1117" s="499"/>
      <c r="P1117" s="499"/>
      <c r="Q1117" s="499"/>
    </row>
    <row r="1118" spans="1:17" ht="14.4" x14ac:dyDescent="0.3">
      <c r="A1118" s="502">
        <v>2370714</v>
      </c>
      <c r="B1118" s="503" t="s">
        <v>2905</v>
      </c>
      <c r="C1118" s="514">
        <v>0</v>
      </c>
      <c r="D1118" s="514">
        <v>0</v>
      </c>
      <c r="E1118" s="514">
        <v>0</v>
      </c>
      <c r="F1118" s="514">
        <v>0</v>
      </c>
      <c r="G1118" s="514">
        <v>0</v>
      </c>
      <c r="H1118" s="514">
        <v>0</v>
      </c>
      <c r="I1118" s="514">
        <v>0</v>
      </c>
      <c r="J1118" s="514">
        <v>0</v>
      </c>
      <c r="K1118" s="514">
        <v>0</v>
      </c>
      <c r="L1118" s="514">
        <v>0</v>
      </c>
      <c r="M1118" s="514">
        <v>0</v>
      </c>
      <c r="N1118" s="514">
        <v>0</v>
      </c>
      <c r="O1118" s="499"/>
      <c r="P1118" s="499"/>
      <c r="Q1118" s="499"/>
    </row>
    <row r="1119" spans="1:17" ht="14.4" x14ac:dyDescent="0.3">
      <c r="A1119" s="502">
        <v>2370800</v>
      </c>
      <c r="B1119" s="503" t="s">
        <v>2906</v>
      </c>
      <c r="C1119" s="514">
        <v>0</v>
      </c>
      <c r="D1119" s="514">
        <v>0</v>
      </c>
      <c r="E1119" s="514">
        <v>0</v>
      </c>
      <c r="F1119" s="514">
        <v>0</v>
      </c>
      <c r="G1119" s="514">
        <v>0</v>
      </c>
      <c r="H1119" s="514">
        <v>0</v>
      </c>
      <c r="I1119" s="514">
        <v>0</v>
      </c>
      <c r="J1119" s="514">
        <v>0</v>
      </c>
      <c r="K1119" s="514">
        <v>0</v>
      </c>
      <c r="L1119" s="514">
        <v>0</v>
      </c>
      <c r="M1119" s="514">
        <v>0</v>
      </c>
      <c r="N1119" s="514">
        <v>0</v>
      </c>
      <c r="O1119" s="499"/>
      <c r="P1119" s="499"/>
      <c r="Q1119" s="499"/>
    </row>
    <row r="1120" spans="1:17" ht="14.4" x14ac:dyDescent="0.3">
      <c r="A1120" s="502">
        <v>2380000</v>
      </c>
      <c r="B1120" s="503" t="s">
        <v>2907</v>
      </c>
      <c r="C1120" s="514">
        <v>0</v>
      </c>
      <c r="D1120" s="514">
        <v>0</v>
      </c>
      <c r="E1120" s="514">
        <v>0</v>
      </c>
      <c r="F1120" s="514">
        <v>0</v>
      </c>
      <c r="G1120" s="514">
        <v>0</v>
      </c>
      <c r="H1120" s="514">
        <v>0</v>
      </c>
      <c r="I1120" s="514">
        <v>0</v>
      </c>
      <c r="J1120" s="514">
        <v>0</v>
      </c>
      <c r="K1120" s="514">
        <v>0</v>
      </c>
      <c r="L1120" s="514">
        <v>0</v>
      </c>
      <c r="M1120" s="514">
        <v>0</v>
      </c>
      <c r="N1120" s="514">
        <v>0</v>
      </c>
      <c r="O1120" s="499"/>
      <c r="P1120" s="499"/>
      <c r="Q1120" s="499"/>
    </row>
    <row r="1121" spans="1:17" ht="14.4" x14ac:dyDescent="0.3">
      <c r="A1121" s="502">
        <v>2380720</v>
      </c>
      <c r="B1121" s="503" t="s">
        <v>2908</v>
      </c>
      <c r="C1121" s="514">
        <v>0</v>
      </c>
      <c r="D1121" s="514">
        <v>0</v>
      </c>
      <c r="E1121" s="514">
        <v>0</v>
      </c>
      <c r="F1121" s="514">
        <v>0</v>
      </c>
      <c r="G1121" s="514">
        <v>0</v>
      </c>
      <c r="H1121" s="514">
        <v>0</v>
      </c>
      <c r="I1121" s="514">
        <v>0</v>
      </c>
      <c r="J1121" s="514">
        <v>0</v>
      </c>
      <c r="K1121" s="514">
        <v>0</v>
      </c>
      <c r="L1121" s="514">
        <v>0</v>
      </c>
      <c r="M1121" s="514">
        <v>0</v>
      </c>
      <c r="N1121" s="514">
        <v>0</v>
      </c>
      <c r="O1121" s="499"/>
      <c r="P1121" s="499"/>
      <c r="Q1121" s="499"/>
    </row>
    <row r="1122" spans="1:17" ht="14.4" x14ac:dyDescent="0.3">
      <c r="A1122" s="502">
        <v>2380721</v>
      </c>
      <c r="B1122" s="503" t="s">
        <v>2909</v>
      </c>
      <c r="C1122" s="514">
        <v>0</v>
      </c>
      <c r="D1122" s="514">
        <v>0</v>
      </c>
      <c r="E1122" s="514">
        <v>0</v>
      </c>
      <c r="F1122" s="514">
        <v>0</v>
      </c>
      <c r="G1122" s="514">
        <v>0</v>
      </c>
      <c r="H1122" s="514">
        <v>0</v>
      </c>
      <c r="I1122" s="514">
        <v>0</v>
      </c>
      <c r="J1122" s="514">
        <v>0</v>
      </c>
      <c r="K1122" s="514">
        <v>0</v>
      </c>
      <c r="L1122" s="514">
        <v>0</v>
      </c>
      <c r="M1122" s="514">
        <v>0</v>
      </c>
      <c r="N1122" s="514">
        <v>0</v>
      </c>
      <c r="O1122" s="499"/>
      <c r="P1122" s="499"/>
      <c r="Q1122" s="499"/>
    </row>
    <row r="1123" spans="1:17" ht="14.4" x14ac:dyDescent="0.3">
      <c r="A1123" s="502">
        <v>2410000</v>
      </c>
      <c r="B1123" s="503" t="s">
        <v>2910</v>
      </c>
      <c r="C1123" s="514">
        <v>1439170.42</v>
      </c>
      <c r="D1123" s="514">
        <v>1460136.4</v>
      </c>
      <c r="E1123" s="514">
        <v>1448525.93</v>
      </c>
      <c r="F1123" s="514">
        <v>1507107.96</v>
      </c>
      <c r="G1123" s="514">
        <v>1595707.33</v>
      </c>
      <c r="H1123" s="514">
        <v>1709368.33</v>
      </c>
      <c r="I1123" s="514">
        <v>1786147.45</v>
      </c>
      <c r="J1123" s="514">
        <v>1871781.27</v>
      </c>
      <c r="K1123" s="514">
        <v>1899242.09</v>
      </c>
      <c r="L1123" s="514">
        <v>1756088.8</v>
      </c>
      <c r="M1123" s="514">
        <v>1602750.39</v>
      </c>
      <c r="N1123" s="514">
        <v>1654135.39</v>
      </c>
      <c r="O1123" s="499"/>
      <c r="P1123" s="499"/>
      <c r="Q1123" s="499"/>
    </row>
    <row r="1124" spans="1:17" ht="14.4" x14ac:dyDescent="0.3">
      <c r="A1124" s="502">
        <v>2410005</v>
      </c>
      <c r="B1124" s="503" t="s">
        <v>2911</v>
      </c>
      <c r="C1124" s="514">
        <v>671243.23</v>
      </c>
      <c r="D1124" s="514">
        <v>681021.97</v>
      </c>
      <c r="E1124" s="514">
        <v>675606.73</v>
      </c>
      <c r="F1124" s="514">
        <v>702929.97</v>
      </c>
      <c r="G1124" s="514">
        <v>744253.59</v>
      </c>
      <c r="H1124" s="514">
        <v>797266.19</v>
      </c>
      <c r="I1124" s="514">
        <v>833076.73</v>
      </c>
      <c r="J1124" s="514">
        <v>873017.19</v>
      </c>
      <c r="K1124" s="514">
        <v>885825.18</v>
      </c>
      <c r="L1124" s="514">
        <v>819057.08</v>
      </c>
      <c r="M1124" s="514">
        <v>747538.54</v>
      </c>
      <c r="N1124" s="514">
        <v>771505.01</v>
      </c>
      <c r="O1124" s="499"/>
      <c r="P1124" s="499"/>
      <c r="Q1124" s="499"/>
    </row>
    <row r="1125" spans="1:17" ht="14.4" x14ac:dyDescent="0.3">
      <c r="A1125" s="502">
        <v>2410019</v>
      </c>
      <c r="B1125" s="503" t="s">
        <v>2912</v>
      </c>
      <c r="C1125" s="514">
        <v>0</v>
      </c>
      <c r="D1125" s="514">
        <v>0</v>
      </c>
      <c r="E1125" s="514">
        <v>0</v>
      </c>
      <c r="F1125" s="514">
        <v>0</v>
      </c>
      <c r="G1125" s="514">
        <v>0</v>
      </c>
      <c r="H1125" s="514">
        <v>0</v>
      </c>
      <c r="I1125" s="514">
        <v>0</v>
      </c>
      <c r="J1125" s="514">
        <v>0</v>
      </c>
      <c r="K1125" s="514">
        <v>0</v>
      </c>
      <c r="L1125" s="514">
        <v>0</v>
      </c>
      <c r="M1125" s="514">
        <v>0</v>
      </c>
      <c r="N1125" s="514">
        <v>0</v>
      </c>
      <c r="O1125" s="499"/>
      <c r="P1125" s="499"/>
      <c r="Q1125" s="499"/>
    </row>
    <row r="1126" spans="1:17" ht="14.4" x14ac:dyDescent="0.3">
      <c r="A1126" s="502">
        <v>2410020</v>
      </c>
      <c r="B1126" s="503" t="s">
        <v>2913</v>
      </c>
      <c r="C1126" s="514">
        <v>0</v>
      </c>
      <c r="D1126" s="514">
        <v>0</v>
      </c>
      <c r="E1126" s="514">
        <v>0</v>
      </c>
      <c r="F1126" s="514">
        <v>0</v>
      </c>
      <c r="G1126" s="514">
        <v>0</v>
      </c>
      <c r="H1126" s="514">
        <v>0</v>
      </c>
      <c r="I1126" s="514">
        <v>0</v>
      </c>
      <c r="J1126" s="514">
        <v>0</v>
      </c>
      <c r="K1126" s="514">
        <v>0</v>
      </c>
      <c r="L1126" s="514">
        <v>0</v>
      </c>
      <c r="M1126" s="514">
        <v>0</v>
      </c>
      <c r="N1126" s="514">
        <v>0</v>
      </c>
      <c r="O1126" s="499"/>
      <c r="P1126" s="499"/>
      <c r="Q1126" s="499"/>
    </row>
    <row r="1127" spans="1:17" ht="14.4" x14ac:dyDescent="0.3">
      <c r="A1127" s="502">
        <v>2410021</v>
      </c>
      <c r="B1127" s="503" t="s">
        <v>2914</v>
      </c>
      <c r="C1127" s="514">
        <v>0</v>
      </c>
      <c r="D1127" s="514">
        <v>0</v>
      </c>
      <c r="E1127" s="514">
        <v>0</v>
      </c>
      <c r="F1127" s="514">
        <v>0</v>
      </c>
      <c r="G1127" s="514">
        <v>0</v>
      </c>
      <c r="H1127" s="514">
        <v>0</v>
      </c>
      <c r="I1127" s="514">
        <v>0</v>
      </c>
      <c r="J1127" s="514">
        <v>0</v>
      </c>
      <c r="K1127" s="514">
        <v>0</v>
      </c>
      <c r="L1127" s="514">
        <v>0</v>
      </c>
      <c r="M1127" s="514">
        <v>0</v>
      </c>
      <c r="N1127" s="514">
        <v>0</v>
      </c>
      <c r="O1127" s="499"/>
      <c r="P1127" s="499"/>
      <c r="Q1127" s="499"/>
    </row>
    <row r="1128" spans="1:17" ht="14.4" x14ac:dyDescent="0.3">
      <c r="A1128" s="502">
        <v>2410022</v>
      </c>
      <c r="B1128" s="503" t="s">
        <v>2915</v>
      </c>
      <c r="C1128" s="514">
        <v>0</v>
      </c>
      <c r="D1128" s="514">
        <v>0</v>
      </c>
      <c r="E1128" s="514">
        <v>0</v>
      </c>
      <c r="F1128" s="514">
        <v>0</v>
      </c>
      <c r="G1128" s="514">
        <v>0</v>
      </c>
      <c r="H1128" s="514">
        <v>0</v>
      </c>
      <c r="I1128" s="514">
        <v>0</v>
      </c>
      <c r="J1128" s="514">
        <v>0</v>
      </c>
      <c r="K1128" s="514">
        <v>0</v>
      </c>
      <c r="L1128" s="514">
        <v>0</v>
      </c>
      <c r="M1128" s="514">
        <v>0</v>
      </c>
      <c r="N1128" s="514">
        <v>0</v>
      </c>
      <c r="O1128" s="499"/>
      <c r="P1128" s="499"/>
      <c r="Q1128" s="499"/>
    </row>
    <row r="1129" spans="1:17" ht="14.4" x14ac:dyDescent="0.3">
      <c r="A1129" s="502">
        <v>2410023</v>
      </c>
      <c r="B1129" s="503" t="s">
        <v>2916</v>
      </c>
      <c r="C1129" s="514">
        <v>0</v>
      </c>
      <c r="D1129" s="514">
        <v>0</v>
      </c>
      <c r="E1129" s="514">
        <v>0</v>
      </c>
      <c r="F1129" s="514">
        <v>0</v>
      </c>
      <c r="G1129" s="514">
        <v>0</v>
      </c>
      <c r="H1129" s="514">
        <v>0</v>
      </c>
      <c r="I1129" s="514">
        <v>0</v>
      </c>
      <c r="J1129" s="514">
        <v>0</v>
      </c>
      <c r="K1129" s="514">
        <v>0</v>
      </c>
      <c r="L1129" s="514">
        <v>0</v>
      </c>
      <c r="M1129" s="514">
        <v>0</v>
      </c>
      <c r="N1129" s="514">
        <v>0</v>
      </c>
      <c r="O1129" s="499"/>
      <c r="P1129" s="499"/>
      <c r="Q1129" s="499"/>
    </row>
    <row r="1130" spans="1:17" ht="14.4" x14ac:dyDescent="0.3">
      <c r="A1130" s="502">
        <v>2410030</v>
      </c>
      <c r="B1130" s="503" t="s">
        <v>2917</v>
      </c>
      <c r="C1130" s="514">
        <v>0</v>
      </c>
      <c r="D1130" s="514">
        <v>0</v>
      </c>
      <c r="E1130" s="514">
        <v>0</v>
      </c>
      <c r="F1130" s="514">
        <v>0</v>
      </c>
      <c r="G1130" s="514">
        <v>0</v>
      </c>
      <c r="H1130" s="514">
        <v>0</v>
      </c>
      <c r="I1130" s="514">
        <v>0</v>
      </c>
      <c r="J1130" s="514">
        <v>0</v>
      </c>
      <c r="K1130" s="514">
        <v>0</v>
      </c>
      <c r="L1130" s="514">
        <v>0</v>
      </c>
      <c r="M1130" s="514">
        <v>0</v>
      </c>
      <c r="N1130" s="514">
        <v>0</v>
      </c>
      <c r="O1130" s="499"/>
      <c r="P1130" s="499"/>
      <c r="Q1130" s="499"/>
    </row>
    <row r="1131" spans="1:17" ht="14.4" x14ac:dyDescent="0.3">
      <c r="A1131" s="502">
        <v>2410040</v>
      </c>
      <c r="B1131" s="503" t="s">
        <v>2918</v>
      </c>
      <c r="C1131" s="514">
        <v>0</v>
      </c>
      <c r="D1131" s="514">
        <v>0</v>
      </c>
      <c r="E1131" s="515">
        <v>0</v>
      </c>
      <c r="F1131" s="514">
        <v>0</v>
      </c>
      <c r="G1131" s="514">
        <v>0</v>
      </c>
      <c r="H1131" s="514">
        <v>0</v>
      </c>
      <c r="I1131" s="514">
        <v>0</v>
      </c>
      <c r="J1131" s="514">
        <v>0</v>
      </c>
      <c r="K1131" s="514">
        <v>0</v>
      </c>
      <c r="L1131" s="514">
        <v>0</v>
      </c>
      <c r="M1131" s="514">
        <v>0</v>
      </c>
      <c r="N1131" s="514">
        <v>0</v>
      </c>
      <c r="O1131" s="499"/>
      <c r="P1131" s="499"/>
      <c r="Q1131" s="499"/>
    </row>
    <row r="1132" spans="1:17" ht="14.4" x14ac:dyDescent="0.3">
      <c r="A1132" s="502">
        <v>2410300</v>
      </c>
      <c r="B1132" s="503" t="s">
        <v>2919</v>
      </c>
      <c r="C1132" s="514">
        <v>1460566.84</v>
      </c>
      <c r="D1132" s="514">
        <v>1481844.53</v>
      </c>
      <c r="E1132" s="514">
        <v>1470061.43</v>
      </c>
      <c r="F1132" s="514">
        <v>1529514.42</v>
      </c>
      <c r="G1132" s="514">
        <v>1619431.01</v>
      </c>
      <c r="H1132" s="514">
        <v>1734781.83</v>
      </c>
      <c r="I1132" s="514">
        <v>1812702.44</v>
      </c>
      <c r="J1132" s="514">
        <v>1899609.39</v>
      </c>
      <c r="K1132" s="514">
        <v>1927478.48</v>
      </c>
      <c r="L1132" s="514">
        <v>1782196.9</v>
      </c>
      <c r="M1132" s="514">
        <v>1626578.78</v>
      </c>
      <c r="N1132" s="514">
        <v>1678727.74</v>
      </c>
      <c r="O1132" s="499"/>
      <c r="P1132" s="499"/>
      <c r="Q1132" s="499"/>
    </row>
    <row r="1133" spans="1:17" ht="14.4" x14ac:dyDescent="0.3">
      <c r="A1133" s="502">
        <v>2410305</v>
      </c>
      <c r="B1133" s="503" t="s">
        <v>2920</v>
      </c>
      <c r="C1133" s="514">
        <v>226201.48</v>
      </c>
      <c r="D1133" s="514">
        <v>229496.8</v>
      </c>
      <c r="E1133" s="514">
        <v>227671.93</v>
      </c>
      <c r="F1133" s="514">
        <v>236879.55</v>
      </c>
      <c r="G1133" s="514">
        <v>250805.15</v>
      </c>
      <c r="H1133" s="514">
        <v>268669.81</v>
      </c>
      <c r="I1133" s="514">
        <v>280737.56</v>
      </c>
      <c r="J1133" s="514">
        <v>294197.05</v>
      </c>
      <c r="K1133" s="514">
        <v>298513.2</v>
      </c>
      <c r="L1133" s="514">
        <v>276013.09000000003</v>
      </c>
      <c r="M1133" s="514">
        <v>251912.14</v>
      </c>
      <c r="N1133" s="514">
        <v>259988.58</v>
      </c>
      <c r="O1133" s="499"/>
      <c r="P1133" s="499"/>
      <c r="Q1133" s="499"/>
    </row>
    <row r="1134" spans="1:17" ht="14.4" x14ac:dyDescent="0.3">
      <c r="A1134" s="502">
        <v>2410310</v>
      </c>
      <c r="B1134" s="503" t="s">
        <v>2921</v>
      </c>
      <c r="C1134" s="514">
        <v>7180226.0300000003</v>
      </c>
      <c r="D1134" s="514">
        <v>7284828.2999999998</v>
      </c>
      <c r="E1134" s="514">
        <v>7226901.9800000004</v>
      </c>
      <c r="F1134" s="514">
        <v>7519176.0899999999</v>
      </c>
      <c r="G1134" s="514">
        <v>7961210.9299999997</v>
      </c>
      <c r="H1134" s="514">
        <v>8528281.8399999999</v>
      </c>
      <c r="I1134" s="514">
        <v>8911343.8100000005</v>
      </c>
      <c r="J1134" s="514">
        <v>9338583.1099999994</v>
      </c>
      <c r="K1134" s="514">
        <v>9475589.0500000007</v>
      </c>
      <c r="L1134" s="514">
        <v>8761376.9199999999</v>
      </c>
      <c r="M1134" s="514">
        <v>7996349.7599999998</v>
      </c>
      <c r="N1134" s="514">
        <v>8252716.8799999999</v>
      </c>
      <c r="O1134" s="499"/>
      <c r="P1134" s="499"/>
      <c r="Q1134" s="499"/>
    </row>
    <row r="1135" spans="1:17" ht="14.4" x14ac:dyDescent="0.3">
      <c r="A1135" s="504">
        <v>2410320</v>
      </c>
      <c r="B1135" s="505" t="s">
        <v>2922</v>
      </c>
      <c r="C1135" s="515">
        <v>0</v>
      </c>
      <c r="D1135" s="515">
        <v>0</v>
      </c>
      <c r="E1135" s="515">
        <v>0</v>
      </c>
      <c r="F1135" s="515">
        <v>0</v>
      </c>
      <c r="G1135" s="515">
        <v>0</v>
      </c>
      <c r="H1135" s="515">
        <v>0</v>
      </c>
      <c r="I1135" s="515">
        <v>0</v>
      </c>
      <c r="J1135" s="515">
        <v>0</v>
      </c>
      <c r="K1135" s="515">
        <v>0</v>
      </c>
      <c r="L1135" s="515">
        <v>0</v>
      </c>
      <c r="M1135" s="515">
        <v>0</v>
      </c>
      <c r="N1135" s="515">
        <v>0</v>
      </c>
      <c r="O1135" s="499"/>
      <c r="P1135" s="499"/>
      <c r="Q1135" s="499"/>
    </row>
    <row r="1136" spans="1:17" ht="14.4" x14ac:dyDescent="0.3">
      <c r="A1136" s="502">
        <v>2410321</v>
      </c>
      <c r="B1136" s="503" t="s">
        <v>2923</v>
      </c>
      <c r="C1136" s="514">
        <v>0</v>
      </c>
      <c r="D1136" s="514">
        <v>0</v>
      </c>
      <c r="E1136" s="514">
        <v>0</v>
      </c>
      <c r="F1136" s="514">
        <v>0</v>
      </c>
      <c r="G1136" s="514">
        <v>0</v>
      </c>
      <c r="H1136" s="514">
        <v>0</v>
      </c>
      <c r="I1136" s="514">
        <v>0</v>
      </c>
      <c r="J1136" s="514">
        <v>0</v>
      </c>
      <c r="K1136" s="514">
        <v>0</v>
      </c>
      <c r="L1136" s="514">
        <v>0</v>
      </c>
      <c r="M1136" s="514">
        <v>0</v>
      </c>
      <c r="N1136" s="514">
        <v>0</v>
      </c>
      <c r="O1136" s="499"/>
      <c r="P1136" s="499"/>
      <c r="Q1136" s="499"/>
    </row>
    <row r="1137" spans="1:17" ht="14.4" x14ac:dyDescent="0.3">
      <c r="A1137" s="502">
        <v>2410330</v>
      </c>
      <c r="B1137" s="503" t="s">
        <v>2924</v>
      </c>
      <c r="C1137" s="514">
        <v>0</v>
      </c>
      <c r="D1137" s="514">
        <v>0</v>
      </c>
      <c r="E1137" s="514">
        <v>0</v>
      </c>
      <c r="F1137" s="514">
        <v>0</v>
      </c>
      <c r="G1137" s="514">
        <v>0</v>
      </c>
      <c r="H1137" s="514">
        <v>0</v>
      </c>
      <c r="I1137" s="514">
        <v>0</v>
      </c>
      <c r="J1137" s="514">
        <v>0</v>
      </c>
      <c r="K1137" s="514">
        <v>0</v>
      </c>
      <c r="L1137" s="514">
        <v>0</v>
      </c>
      <c r="M1137" s="514">
        <v>0</v>
      </c>
      <c r="N1137" s="514">
        <v>0</v>
      </c>
      <c r="O1137" s="499"/>
      <c r="P1137" s="499"/>
      <c r="Q1137" s="499"/>
    </row>
    <row r="1138" spans="1:17" ht="14.4" x14ac:dyDescent="0.3">
      <c r="A1138" s="502">
        <v>2410430</v>
      </c>
      <c r="B1138" s="503" t="s">
        <v>2925</v>
      </c>
      <c r="C1138" s="514">
        <v>0</v>
      </c>
      <c r="D1138" s="514">
        <v>0</v>
      </c>
      <c r="E1138" s="514">
        <v>0</v>
      </c>
      <c r="F1138" s="514">
        <v>0</v>
      </c>
      <c r="G1138" s="514">
        <v>0</v>
      </c>
      <c r="H1138" s="514">
        <v>0</v>
      </c>
      <c r="I1138" s="514">
        <v>0</v>
      </c>
      <c r="J1138" s="514">
        <v>0</v>
      </c>
      <c r="K1138" s="514">
        <v>0</v>
      </c>
      <c r="L1138" s="514">
        <v>0</v>
      </c>
      <c r="M1138" s="514">
        <v>0</v>
      </c>
      <c r="N1138" s="514">
        <v>0</v>
      </c>
      <c r="O1138" s="499"/>
      <c r="P1138" s="499"/>
      <c r="Q1138" s="499"/>
    </row>
    <row r="1139" spans="1:17" ht="14.4" x14ac:dyDescent="0.3">
      <c r="A1139" s="502">
        <v>2410603</v>
      </c>
      <c r="B1139" s="503" t="s">
        <v>2926</v>
      </c>
      <c r="C1139" s="514">
        <v>0</v>
      </c>
      <c r="D1139" s="514">
        <v>0</v>
      </c>
      <c r="E1139" s="514">
        <v>0</v>
      </c>
      <c r="F1139" s="514">
        <v>0</v>
      </c>
      <c r="G1139" s="514">
        <v>0</v>
      </c>
      <c r="H1139" s="514">
        <v>0</v>
      </c>
      <c r="I1139" s="514">
        <v>0</v>
      </c>
      <c r="J1139" s="514">
        <v>0</v>
      </c>
      <c r="K1139" s="514">
        <v>0</v>
      </c>
      <c r="L1139" s="514">
        <v>0</v>
      </c>
      <c r="M1139" s="514">
        <v>0</v>
      </c>
      <c r="N1139" s="514">
        <v>0</v>
      </c>
      <c r="O1139" s="499"/>
      <c r="P1139" s="499"/>
      <c r="Q1139" s="499"/>
    </row>
    <row r="1140" spans="1:17" ht="14.4" x14ac:dyDescent="0.3">
      <c r="A1140" s="502">
        <v>2410605</v>
      </c>
      <c r="B1140" s="503" t="s">
        <v>2927</v>
      </c>
      <c r="C1140" s="514">
        <v>0</v>
      </c>
      <c r="D1140" s="514">
        <v>0</v>
      </c>
      <c r="E1140" s="514">
        <v>0</v>
      </c>
      <c r="F1140" s="514">
        <v>0</v>
      </c>
      <c r="G1140" s="514">
        <v>0</v>
      </c>
      <c r="H1140" s="514">
        <v>0</v>
      </c>
      <c r="I1140" s="514">
        <v>0</v>
      </c>
      <c r="J1140" s="514">
        <v>0</v>
      </c>
      <c r="K1140" s="514">
        <v>0</v>
      </c>
      <c r="L1140" s="514">
        <v>0</v>
      </c>
      <c r="M1140" s="514">
        <v>0</v>
      </c>
      <c r="N1140" s="514">
        <v>0</v>
      </c>
      <c r="O1140" s="499"/>
      <c r="P1140" s="499"/>
      <c r="Q1140" s="499"/>
    </row>
    <row r="1141" spans="1:17" ht="14.4" x14ac:dyDescent="0.3">
      <c r="A1141" s="502">
        <v>2420100</v>
      </c>
      <c r="B1141" s="503" t="s">
        <v>2928</v>
      </c>
      <c r="C1141" s="514">
        <v>0</v>
      </c>
      <c r="D1141" s="514">
        <v>0</v>
      </c>
      <c r="E1141" s="514">
        <v>0</v>
      </c>
      <c r="F1141" s="514">
        <v>0</v>
      </c>
      <c r="G1141" s="514">
        <v>0</v>
      </c>
      <c r="H1141" s="514">
        <v>0</v>
      </c>
      <c r="I1141" s="514">
        <v>0</v>
      </c>
      <c r="J1141" s="514">
        <v>0</v>
      </c>
      <c r="K1141" s="514">
        <v>0</v>
      </c>
      <c r="L1141" s="514">
        <v>0</v>
      </c>
      <c r="M1141" s="514">
        <v>0</v>
      </c>
      <c r="N1141" s="514">
        <v>0</v>
      </c>
      <c r="O1141" s="499"/>
      <c r="P1141" s="499"/>
      <c r="Q1141" s="499"/>
    </row>
    <row r="1142" spans="1:17" ht="14.4" x14ac:dyDescent="0.3">
      <c r="A1142" s="502">
        <v>2420101</v>
      </c>
      <c r="B1142" s="503" t="s">
        <v>2929</v>
      </c>
      <c r="C1142" s="514">
        <v>0</v>
      </c>
      <c r="D1142" s="514">
        <v>0</v>
      </c>
      <c r="E1142" s="514">
        <v>0</v>
      </c>
      <c r="F1142" s="514">
        <v>0</v>
      </c>
      <c r="G1142" s="514">
        <v>0</v>
      </c>
      <c r="H1142" s="514">
        <v>0</v>
      </c>
      <c r="I1142" s="514">
        <v>0</v>
      </c>
      <c r="J1142" s="514">
        <v>0</v>
      </c>
      <c r="K1142" s="514">
        <v>0</v>
      </c>
      <c r="L1142" s="514">
        <v>0</v>
      </c>
      <c r="M1142" s="514">
        <v>0</v>
      </c>
      <c r="N1142" s="514">
        <v>0</v>
      </c>
      <c r="O1142" s="499"/>
      <c r="P1142" s="499"/>
      <c r="Q1142" s="499"/>
    </row>
    <row r="1143" spans="1:17" ht="14.4" x14ac:dyDescent="0.3">
      <c r="A1143" s="502">
        <v>2420110</v>
      </c>
      <c r="B1143" s="503" t="s">
        <v>2930</v>
      </c>
      <c r="C1143" s="514">
        <v>0</v>
      </c>
      <c r="D1143" s="514">
        <v>0</v>
      </c>
      <c r="E1143" s="514">
        <v>0</v>
      </c>
      <c r="F1143" s="514">
        <v>0</v>
      </c>
      <c r="G1143" s="514">
        <v>0</v>
      </c>
      <c r="H1143" s="514">
        <v>0</v>
      </c>
      <c r="I1143" s="514">
        <v>0</v>
      </c>
      <c r="J1143" s="514">
        <v>0</v>
      </c>
      <c r="K1143" s="514">
        <v>0</v>
      </c>
      <c r="L1143" s="514">
        <v>0</v>
      </c>
      <c r="M1143" s="514">
        <v>0</v>
      </c>
      <c r="N1143" s="514">
        <v>0</v>
      </c>
      <c r="O1143" s="499"/>
      <c r="P1143" s="499"/>
      <c r="Q1143" s="499"/>
    </row>
    <row r="1144" spans="1:17" ht="14.4" x14ac:dyDescent="0.3">
      <c r="A1144" s="502">
        <v>2420111</v>
      </c>
      <c r="B1144" s="503" t="s">
        <v>2931</v>
      </c>
      <c r="C1144" s="514">
        <v>4346287</v>
      </c>
      <c r="D1144" s="514">
        <v>4346287</v>
      </c>
      <c r="E1144" s="514">
        <v>4346287</v>
      </c>
      <c r="F1144" s="514">
        <v>4346287</v>
      </c>
      <c r="G1144" s="514">
        <v>4346287</v>
      </c>
      <c r="H1144" s="514">
        <v>4346287</v>
      </c>
      <c r="I1144" s="514">
        <v>4346287</v>
      </c>
      <c r="J1144" s="514">
        <v>4346287</v>
      </c>
      <c r="K1144" s="514">
        <v>4346287</v>
      </c>
      <c r="L1144" s="514">
        <v>4346287</v>
      </c>
      <c r="M1144" s="514">
        <v>4346287</v>
      </c>
      <c r="N1144" s="514">
        <v>4346287</v>
      </c>
      <c r="O1144" s="499"/>
      <c r="P1144" s="499"/>
      <c r="Q1144" s="499"/>
    </row>
    <row r="1145" spans="1:17" ht="14.4" x14ac:dyDescent="0.3">
      <c r="A1145" s="502">
        <v>2420121</v>
      </c>
      <c r="B1145" s="503" t="s">
        <v>2932</v>
      </c>
      <c r="C1145" s="514">
        <v>0</v>
      </c>
      <c r="D1145" s="514">
        <v>0</v>
      </c>
      <c r="E1145" s="514">
        <v>0</v>
      </c>
      <c r="F1145" s="514">
        <v>0</v>
      </c>
      <c r="G1145" s="514">
        <v>0</v>
      </c>
      <c r="H1145" s="514">
        <v>0</v>
      </c>
      <c r="I1145" s="514">
        <v>0</v>
      </c>
      <c r="J1145" s="514">
        <v>0</v>
      </c>
      <c r="K1145" s="514">
        <v>0</v>
      </c>
      <c r="L1145" s="514">
        <v>0</v>
      </c>
      <c r="M1145" s="514">
        <v>0</v>
      </c>
      <c r="N1145" s="514">
        <v>0</v>
      </c>
      <c r="O1145" s="499"/>
      <c r="P1145" s="499"/>
      <c r="Q1145" s="499"/>
    </row>
    <row r="1146" spans="1:17" ht="14.4" x14ac:dyDescent="0.3">
      <c r="A1146" s="502">
        <v>2420131</v>
      </c>
      <c r="B1146" s="503" t="s">
        <v>2933</v>
      </c>
      <c r="C1146" s="514">
        <v>10697051</v>
      </c>
      <c r="D1146" s="514">
        <v>10697051</v>
      </c>
      <c r="E1146" s="514">
        <v>10697051</v>
      </c>
      <c r="F1146" s="514">
        <v>10697051</v>
      </c>
      <c r="G1146" s="514">
        <v>10697051</v>
      </c>
      <c r="H1146" s="514">
        <v>10697051</v>
      </c>
      <c r="I1146" s="514">
        <v>10697051</v>
      </c>
      <c r="J1146" s="514">
        <v>10697051</v>
      </c>
      <c r="K1146" s="514">
        <v>10697051</v>
      </c>
      <c r="L1146" s="514">
        <v>10697051</v>
      </c>
      <c r="M1146" s="514">
        <v>10697051</v>
      </c>
      <c r="N1146" s="514">
        <v>10697051</v>
      </c>
      <c r="O1146" s="499"/>
      <c r="P1146" s="499"/>
      <c r="Q1146" s="499"/>
    </row>
    <row r="1147" spans="1:17" ht="14.4" x14ac:dyDescent="0.3">
      <c r="A1147" s="502">
        <v>2420140</v>
      </c>
      <c r="B1147" s="503" t="s">
        <v>2934</v>
      </c>
      <c r="C1147" s="514">
        <v>0</v>
      </c>
      <c r="D1147" s="514">
        <v>0</v>
      </c>
      <c r="E1147" s="514">
        <v>0</v>
      </c>
      <c r="F1147" s="514">
        <v>0</v>
      </c>
      <c r="G1147" s="514">
        <v>0</v>
      </c>
      <c r="H1147" s="514">
        <v>0</v>
      </c>
      <c r="I1147" s="514">
        <v>0</v>
      </c>
      <c r="J1147" s="514">
        <v>0</v>
      </c>
      <c r="K1147" s="514">
        <v>0</v>
      </c>
      <c r="L1147" s="514">
        <v>0</v>
      </c>
      <c r="M1147" s="514">
        <v>0</v>
      </c>
      <c r="N1147" s="514">
        <v>0</v>
      </c>
      <c r="O1147" s="499"/>
      <c r="P1147" s="499"/>
      <c r="Q1147" s="499"/>
    </row>
    <row r="1148" spans="1:17" ht="14.4" x14ac:dyDescent="0.3">
      <c r="A1148" s="502">
        <v>2420150</v>
      </c>
      <c r="B1148" s="503" t="s">
        <v>2935</v>
      </c>
      <c r="C1148" s="514">
        <v>0</v>
      </c>
      <c r="D1148" s="514">
        <v>0</v>
      </c>
      <c r="E1148" s="514">
        <v>0</v>
      </c>
      <c r="F1148" s="514">
        <v>0</v>
      </c>
      <c r="G1148" s="514">
        <v>0</v>
      </c>
      <c r="H1148" s="514">
        <v>0</v>
      </c>
      <c r="I1148" s="514">
        <v>0</v>
      </c>
      <c r="J1148" s="514">
        <v>0</v>
      </c>
      <c r="K1148" s="514">
        <v>0</v>
      </c>
      <c r="L1148" s="514">
        <v>0</v>
      </c>
      <c r="M1148" s="514">
        <v>0</v>
      </c>
      <c r="N1148" s="514">
        <v>0</v>
      </c>
      <c r="O1148" s="499"/>
      <c r="P1148" s="499"/>
      <c r="Q1148" s="499"/>
    </row>
    <row r="1149" spans="1:17" ht="14.4" x14ac:dyDescent="0.3">
      <c r="A1149" s="502">
        <v>2420170</v>
      </c>
      <c r="B1149" s="503" t="s">
        <v>2936</v>
      </c>
      <c r="C1149" s="514">
        <v>0</v>
      </c>
      <c r="D1149" s="514">
        <v>0</v>
      </c>
      <c r="E1149" s="514">
        <v>0</v>
      </c>
      <c r="F1149" s="514">
        <v>0</v>
      </c>
      <c r="G1149" s="514">
        <v>0</v>
      </c>
      <c r="H1149" s="514">
        <v>0</v>
      </c>
      <c r="I1149" s="514">
        <v>0</v>
      </c>
      <c r="J1149" s="514">
        <v>0</v>
      </c>
      <c r="K1149" s="514">
        <v>0</v>
      </c>
      <c r="L1149" s="514">
        <v>0</v>
      </c>
      <c r="M1149" s="514">
        <v>0</v>
      </c>
      <c r="N1149" s="514">
        <v>0</v>
      </c>
      <c r="O1149" s="499"/>
      <c r="P1149" s="499"/>
      <c r="Q1149" s="499"/>
    </row>
    <row r="1150" spans="1:17" ht="14.4" x14ac:dyDescent="0.3">
      <c r="A1150" s="502">
        <v>2420190</v>
      </c>
      <c r="B1150" s="503" t="s">
        <v>2937</v>
      </c>
      <c r="C1150" s="514">
        <v>0</v>
      </c>
      <c r="D1150" s="514">
        <v>0</v>
      </c>
      <c r="E1150" s="514">
        <v>0</v>
      </c>
      <c r="F1150" s="514">
        <v>0</v>
      </c>
      <c r="G1150" s="514">
        <v>0</v>
      </c>
      <c r="H1150" s="514">
        <v>0</v>
      </c>
      <c r="I1150" s="514">
        <v>0</v>
      </c>
      <c r="J1150" s="514">
        <v>0</v>
      </c>
      <c r="K1150" s="514">
        <v>0</v>
      </c>
      <c r="L1150" s="514">
        <v>0</v>
      </c>
      <c r="M1150" s="514">
        <v>0</v>
      </c>
      <c r="N1150" s="514">
        <v>0</v>
      </c>
      <c r="O1150" s="499"/>
      <c r="P1150" s="499"/>
      <c r="Q1150" s="499"/>
    </row>
    <row r="1151" spans="1:17" ht="14.4" x14ac:dyDescent="0.3">
      <c r="A1151" s="502">
        <v>2420191</v>
      </c>
      <c r="B1151" s="503" t="s">
        <v>2938</v>
      </c>
      <c r="C1151" s="514">
        <v>5551581.5</v>
      </c>
      <c r="D1151" s="514">
        <v>5551581.5</v>
      </c>
      <c r="E1151" s="514">
        <v>4543562.5</v>
      </c>
      <c r="F1151" s="514">
        <v>4543562.5</v>
      </c>
      <c r="G1151" s="514">
        <v>4543562.5</v>
      </c>
      <c r="H1151" s="514">
        <v>5112344.5</v>
      </c>
      <c r="I1151" s="514">
        <v>5112344.5</v>
      </c>
      <c r="J1151" s="514">
        <v>5112344.5</v>
      </c>
      <c r="K1151" s="514">
        <v>5681126.5</v>
      </c>
      <c r="L1151" s="514">
        <v>5681126.5</v>
      </c>
      <c r="M1151" s="514">
        <v>5681126.5</v>
      </c>
      <c r="N1151" s="514">
        <v>6249908.5</v>
      </c>
      <c r="O1151" s="499"/>
      <c r="P1151" s="499"/>
      <c r="Q1151" s="499"/>
    </row>
    <row r="1152" spans="1:17" ht="14.4" x14ac:dyDescent="0.3">
      <c r="A1152" s="502">
        <v>2420192</v>
      </c>
      <c r="B1152" s="503" t="s">
        <v>2939</v>
      </c>
      <c r="C1152" s="514">
        <v>3319124.14</v>
      </c>
      <c r="D1152" s="514">
        <v>3319124.14</v>
      </c>
      <c r="E1152" s="514">
        <v>3537601.38</v>
      </c>
      <c r="F1152" s="514">
        <v>3537601.38</v>
      </c>
      <c r="G1152" s="514">
        <v>3537601.38</v>
      </c>
      <c r="H1152" s="514">
        <v>3756078.62</v>
      </c>
      <c r="I1152" s="514">
        <v>3756078.62</v>
      </c>
      <c r="J1152" s="514">
        <v>3756078.62</v>
      </c>
      <c r="K1152" s="514">
        <v>3974555.86</v>
      </c>
      <c r="L1152" s="514">
        <v>3974555.86</v>
      </c>
      <c r="M1152" s="514">
        <v>3974555.86</v>
      </c>
      <c r="N1152" s="514">
        <v>4193033.1</v>
      </c>
      <c r="O1152" s="499"/>
      <c r="P1152" s="499"/>
      <c r="Q1152" s="499"/>
    </row>
    <row r="1153" spans="1:17" ht="14.4" x14ac:dyDescent="0.3">
      <c r="A1153" s="504">
        <v>2420199</v>
      </c>
      <c r="B1153" s="505" t="s">
        <v>2940</v>
      </c>
      <c r="C1153" s="515">
        <v>0</v>
      </c>
      <c r="D1153" s="515">
        <v>0</v>
      </c>
      <c r="E1153" s="515">
        <v>0</v>
      </c>
      <c r="F1153" s="515">
        <v>0</v>
      </c>
      <c r="G1153" s="515">
        <v>0</v>
      </c>
      <c r="H1153" s="515">
        <v>0</v>
      </c>
      <c r="I1153" s="515">
        <v>0</v>
      </c>
      <c r="J1153" s="515">
        <v>0</v>
      </c>
      <c r="K1153" s="515">
        <v>0</v>
      </c>
      <c r="L1153" s="515">
        <v>0</v>
      </c>
      <c r="M1153" s="515">
        <v>0</v>
      </c>
      <c r="N1153" s="515">
        <v>0</v>
      </c>
      <c r="O1153" s="499"/>
      <c r="P1153" s="499"/>
      <c r="Q1153" s="499"/>
    </row>
    <row r="1154" spans="1:17" ht="14.4" x14ac:dyDescent="0.3">
      <c r="A1154" s="504">
        <v>2420290</v>
      </c>
      <c r="B1154" s="505" t="s">
        <v>2941</v>
      </c>
      <c r="C1154" s="515">
        <v>0</v>
      </c>
      <c r="D1154" s="515">
        <v>0</v>
      </c>
      <c r="E1154" s="515">
        <v>0</v>
      </c>
      <c r="F1154" s="515">
        <v>0</v>
      </c>
      <c r="G1154" s="515">
        <v>0</v>
      </c>
      <c r="H1154" s="515">
        <v>0</v>
      </c>
      <c r="I1154" s="515">
        <v>0</v>
      </c>
      <c r="J1154" s="515">
        <v>0</v>
      </c>
      <c r="K1154" s="515">
        <v>0</v>
      </c>
      <c r="L1154" s="515">
        <v>0</v>
      </c>
      <c r="M1154" s="515">
        <v>0</v>
      </c>
      <c r="N1154" s="515">
        <v>0</v>
      </c>
      <c r="O1154" s="499"/>
      <c r="P1154" s="499"/>
      <c r="Q1154" s="499"/>
    </row>
    <row r="1155" spans="1:17" ht="14.4" x14ac:dyDescent="0.3">
      <c r="A1155" s="502">
        <v>2420300</v>
      </c>
      <c r="B1155" s="503" t="s">
        <v>2942</v>
      </c>
      <c r="C1155" s="514">
        <v>22160000</v>
      </c>
      <c r="D1155" s="514">
        <v>22254000</v>
      </c>
      <c r="E1155" s="514">
        <v>22334000</v>
      </c>
      <c r="F1155" s="514">
        <v>22412000</v>
      </c>
      <c r="G1155" s="514">
        <v>22467000</v>
      </c>
      <c r="H1155" s="514">
        <v>22543000</v>
      </c>
      <c r="I1155" s="514">
        <v>22554000</v>
      </c>
      <c r="J1155" s="514">
        <v>22599000</v>
      </c>
      <c r="K1155" s="514">
        <v>22644000</v>
      </c>
      <c r="L1155" s="514">
        <v>22689000</v>
      </c>
      <c r="M1155" s="514">
        <v>22734000</v>
      </c>
      <c r="N1155" s="514">
        <v>22563000</v>
      </c>
      <c r="O1155" s="499"/>
      <c r="P1155" s="499"/>
      <c r="Q1155" s="499"/>
    </row>
    <row r="1156" spans="1:17" ht="14.4" x14ac:dyDescent="0.3">
      <c r="A1156" s="502">
        <v>2420310</v>
      </c>
      <c r="B1156" s="503" t="s">
        <v>2943</v>
      </c>
      <c r="C1156" s="514">
        <v>0</v>
      </c>
      <c r="D1156" s="514">
        <v>0</v>
      </c>
      <c r="E1156" s="514">
        <v>0</v>
      </c>
      <c r="F1156" s="514">
        <v>0</v>
      </c>
      <c r="G1156" s="514">
        <v>0</v>
      </c>
      <c r="H1156" s="514">
        <v>0</v>
      </c>
      <c r="I1156" s="514">
        <v>0</v>
      </c>
      <c r="J1156" s="514">
        <v>0</v>
      </c>
      <c r="K1156" s="514">
        <v>0</v>
      </c>
      <c r="L1156" s="514">
        <v>0</v>
      </c>
      <c r="M1156" s="514">
        <v>0</v>
      </c>
      <c r="N1156" s="514">
        <v>0</v>
      </c>
      <c r="O1156" s="499"/>
      <c r="P1156" s="499"/>
      <c r="Q1156" s="499"/>
    </row>
    <row r="1157" spans="1:17" ht="14.4" x14ac:dyDescent="0.3">
      <c r="A1157" s="502">
        <v>2420320</v>
      </c>
      <c r="B1157" s="503" t="s">
        <v>2944</v>
      </c>
      <c r="C1157" s="514">
        <v>0</v>
      </c>
      <c r="D1157" s="514">
        <v>0</v>
      </c>
      <c r="E1157" s="514">
        <v>0</v>
      </c>
      <c r="F1157" s="514">
        <v>0</v>
      </c>
      <c r="G1157" s="514">
        <v>0</v>
      </c>
      <c r="H1157" s="514">
        <v>0</v>
      </c>
      <c r="I1157" s="514">
        <v>0</v>
      </c>
      <c r="J1157" s="514">
        <v>0</v>
      </c>
      <c r="K1157" s="514">
        <v>0</v>
      </c>
      <c r="L1157" s="514">
        <v>0</v>
      </c>
      <c r="M1157" s="514">
        <v>0</v>
      </c>
      <c r="N1157" s="514">
        <v>0</v>
      </c>
      <c r="O1157" s="499"/>
      <c r="P1157" s="499"/>
      <c r="Q1157" s="499"/>
    </row>
    <row r="1158" spans="1:17" ht="14.4" x14ac:dyDescent="0.3">
      <c r="A1158" s="502">
        <v>2420321</v>
      </c>
      <c r="B1158" s="503" t="s">
        <v>2945</v>
      </c>
      <c r="C1158" s="514">
        <v>0</v>
      </c>
      <c r="D1158" s="514">
        <v>0</v>
      </c>
      <c r="E1158" s="514">
        <v>0</v>
      </c>
      <c r="F1158" s="514">
        <v>0</v>
      </c>
      <c r="G1158" s="514">
        <v>0</v>
      </c>
      <c r="H1158" s="514">
        <v>0</v>
      </c>
      <c r="I1158" s="514">
        <v>0</v>
      </c>
      <c r="J1158" s="514">
        <v>0</v>
      </c>
      <c r="K1158" s="514">
        <v>0</v>
      </c>
      <c r="L1158" s="514">
        <v>0</v>
      </c>
      <c r="M1158" s="514">
        <v>0</v>
      </c>
      <c r="N1158" s="514">
        <v>0</v>
      </c>
      <c r="O1158" s="499"/>
      <c r="P1158" s="499"/>
      <c r="Q1158" s="499"/>
    </row>
    <row r="1159" spans="1:17" ht="14.4" x14ac:dyDescent="0.3">
      <c r="A1159" s="504">
        <v>2420340</v>
      </c>
      <c r="B1159" s="505" t="s">
        <v>2946</v>
      </c>
      <c r="C1159" s="515">
        <v>0</v>
      </c>
      <c r="D1159" s="515">
        <v>0</v>
      </c>
      <c r="E1159" s="515">
        <v>0</v>
      </c>
      <c r="F1159" s="515">
        <v>0</v>
      </c>
      <c r="G1159" s="515">
        <v>0</v>
      </c>
      <c r="H1159" s="515">
        <v>0</v>
      </c>
      <c r="I1159" s="515">
        <v>0</v>
      </c>
      <c r="J1159" s="515">
        <v>0</v>
      </c>
      <c r="K1159" s="515">
        <v>0</v>
      </c>
      <c r="L1159" s="515">
        <v>0</v>
      </c>
      <c r="M1159" s="515">
        <v>0</v>
      </c>
      <c r="N1159" s="515">
        <v>0</v>
      </c>
      <c r="O1159" s="499"/>
      <c r="P1159" s="499"/>
      <c r="Q1159" s="499"/>
    </row>
    <row r="1160" spans="1:17" ht="14.4" x14ac:dyDescent="0.3">
      <c r="A1160" s="502">
        <v>2420800</v>
      </c>
      <c r="B1160" s="503" t="s">
        <v>2947</v>
      </c>
      <c r="C1160" s="514">
        <v>0</v>
      </c>
      <c r="D1160" s="514">
        <v>0</v>
      </c>
      <c r="E1160" s="514">
        <v>0</v>
      </c>
      <c r="F1160" s="514">
        <v>0</v>
      </c>
      <c r="G1160" s="514">
        <v>0</v>
      </c>
      <c r="H1160" s="514">
        <v>0</v>
      </c>
      <c r="I1160" s="514">
        <v>0</v>
      </c>
      <c r="J1160" s="514">
        <v>0</v>
      </c>
      <c r="K1160" s="514">
        <v>0</v>
      </c>
      <c r="L1160" s="514">
        <v>0</v>
      </c>
      <c r="M1160" s="514">
        <v>0</v>
      </c>
      <c r="N1160" s="514">
        <v>0</v>
      </c>
      <c r="O1160" s="499"/>
      <c r="P1160" s="499"/>
      <c r="Q1160" s="499"/>
    </row>
    <row r="1161" spans="1:17" ht="14.4" x14ac:dyDescent="0.3">
      <c r="A1161" s="502">
        <v>2430100</v>
      </c>
      <c r="B1161" s="503" t="s">
        <v>2948</v>
      </c>
      <c r="C1161" s="514">
        <v>1149676.31</v>
      </c>
      <c r="D1161" s="514">
        <v>988385.98</v>
      </c>
      <c r="E1161" s="514">
        <v>826583.5</v>
      </c>
      <c r="F1161" s="514">
        <v>664267.23</v>
      </c>
      <c r="G1161" s="514">
        <v>501435.54</v>
      </c>
      <c r="H1161" s="514">
        <v>338086.8</v>
      </c>
      <c r="I1161" s="514">
        <v>174235.2</v>
      </c>
      <c r="J1161" s="514">
        <v>9863.31</v>
      </c>
      <c r="K1161" s="514">
        <v>155030.5</v>
      </c>
      <c r="L1161" s="514">
        <v>153162.65</v>
      </c>
      <c r="M1161" s="514">
        <v>151228.04</v>
      </c>
      <c r="N1161" s="514">
        <v>149285.89000000001</v>
      </c>
      <c r="O1161" s="499"/>
      <c r="P1161" s="499"/>
      <c r="Q1161" s="499"/>
    </row>
    <row r="1162" spans="1:17" ht="14.4" x14ac:dyDescent="0.3">
      <c r="A1162" s="502">
        <v>2430101</v>
      </c>
      <c r="B1162" s="503" t="s">
        <v>2949</v>
      </c>
      <c r="C1162" s="514">
        <v>536199.17000000004</v>
      </c>
      <c r="D1162" s="514">
        <v>538262.22</v>
      </c>
      <c r="E1162" s="514">
        <v>540328.18000000005</v>
      </c>
      <c r="F1162" s="514">
        <v>542397.05000000005</v>
      </c>
      <c r="G1162" s="514">
        <v>544481.03</v>
      </c>
      <c r="H1162" s="514">
        <v>546567.94999999995</v>
      </c>
      <c r="I1162" s="514">
        <v>548657.80000000005</v>
      </c>
      <c r="J1162" s="514">
        <v>550750.6</v>
      </c>
      <c r="K1162" s="514">
        <v>552846.35</v>
      </c>
      <c r="L1162" s="514">
        <v>554945.05000000005</v>
      </c>
      <c r="M1162" s="514">
        <v>557046.69999999995</v>
      </c>
      <c r="N1162" s="514">
        <v>559151.31000000006</v>
      </c>
      <c r="O1162" s="499"/>
      <c r="P1162" s="499"/>
      <c r="Q1162" s="499"/>
    </row>
    <row r="1163" spans="1:17" ht="14.4" x14ac:dyDescent="0.3">
      <c r="A1163" s="502">
        <v>2450100</v>
      </c>
      <c r="B1163" s="503" t="s">
        <v>2950</v>
      </c>
      <c r="C1163" s="514">
        <v>0</v>
      </c>
      <c r="D1163" s="514">
        <v>0</v>
      </c>
      <c r="E1163" s="514">
        <v>0</v>
      </c>
      <c r="F1163" s="514">
        <v>0</v>
      </c>
      <c r="G1163" s="514">
        <v>0</v>
      </c>
      <c r="H1163" s="514">
        <v>0</v>
      </c>
      <c r="I1163" s="514">
        <v>0</v>
      </c>
      <c r="J1163" s="514">
        <v>0</v>
      </c>
      <c r="K1163" s="514">
        <v>0</v>
      </c>
      <c r="L1163" s="514">
        <v>0</v>
      </c>
      <c r="M1163" s="514">
        <v>0</v>
      </c>
      <c r="N1163" s="514">
        <v>0</v>
      </c>
      <c r="O1163" s="499"/>
      <c r="P1163" s="499"/>
      <c r="Q1163" s="499"/>
    </row>
    <row r="1164" spans="1:17" ht="14.4" x14ac:dyDescent="0.3">
      <c r="A1164" s="502">
        <v>2450120</v>
      </c>
      <c r="B1164" s="503" t="s">
        <v>2951</v>
      </c>
      <c r="C1164" s="514">
        <v>0</v>
      </c>
      <c r="D1164" s="514">
        <v>0</v>
      </c>
      <c r="E1164" s="514">
        <v>0</v>
      </c>
      <c r="F1164" s="514">
        <v>0</v>
      </c>
      <c r="G1164" s="514">
        <v>0</v>
      </c>
      <c r="H1164" s="514">
        <v>0</v>
      </c>
      <c r="I1164" s="514">
        <v>0</v>
      </c>
      <c r="J1164" s="514">
        <v>0</v>
      </c>
      <c r="K1164" s="514">
        <v>0</v>
      </c>
      <c r="L1164" s="514">
        <v>0</v>
      </c>
      <c r="M1164" s="514">
        <v>0</v>
      </c>
      <c r="N1164" s="514">
        <v>0</v>
      </c>
      <c r="O1164" s="499"/>
      <c r="P1164" s="499"/>
      <c r="Q1164" s="499"/>
    </row>
    <row r="1165" spans="1:17" ht="14.4" x14ac:dyDescent="0.3">
      <c r="A1165" s="502">
        <v>2450200</v>
      </c>
      <c r="B1165" s="503" t="s">
        <v>2952</v>
      </c>
      <c r="C1165" s="514">
        <v>0</v>
      </c>
      <c r="D1165" s="514">
        <v>0</v>
      </c>
      <c r="E1165" s="514">
        <v>0</v>
      </c>
      <c r="F1165" s="514">
        <v>0</v>
      </c>
      <c r="G1165" s="514">
        <v>0</v>
      </c>
      <c r="H1165" s="514">
        <v>0</v>
      </c>
      <c r="I1165" s="514">
        <v>0</v>
      </c>
      <c r="J1165" s="514">
        <v>0</v>
      </c>
      <c r="K1165" s="514">
        <v>0</v>
      </c>
      <c r="L1165" s="514">
        <v>0</v>
      </c>
      <c r="M1165" s="514">
        <v>0</v>
      </c>
      <c r="N1165" s="514">
        <v>0</v>
      </c>
      <c r="O1165" s="499"/>
      <c r="P1165" s="499"/>
      <c r="Q1165" s="499"/>
    </row>
    <row r="1166" spans="1:17" ht="14.4" x14ac:dyDescent="0.3">
      <c r="A1166" s="502">
        <v>2450700</v>
      </c>
      <c r="B1166" s="503" t="s">
        <v>2953</v>
      </c>
      <c r="C1166" s="514">
        <v>0</v>
      </c>
      <c r="D1166" s="514">
        <v>0</v>
      </c>
      <c r="E1166" s="514">
        <v>0</v>
      </c>
      <c r="F1166" s="514">
        <v>0</v>
      </c>
      <c r="G1166" s="514">
        <v>0</v>
      </c>
      <c r="H1166" s="514">
        <v>0</v>
      </c>
      <c r="I1166" s="514">
        <v>0</v>
      </c>
      <c r="J1166" s="514">
        <v>0</v>
      </c>
      <c r="K1166" s="514">
        <v>0</v>
      </c>
      <c r="L1166" s="514">
        <v>0</v>
      </c>
      <c r="M1166" s="514">
        <v>0</v>
      </c>
      <c r="N1166" s="514">
        <v>0</v>
      </c>
      <c r="O1166" s="499"/>
      <c r="P1166" s="499"/>
      <c r="Q1166" s="499"/>
    </row>
    <row r="1167" spans="1:17" ht="14.4" x14ac:dyDescent="0.3">
      <c r="A1167" s="502">
        <v>2450720</v>
      </c>
      <c r="B1167" s="503" t="s">
        <v>2954</v>
      </c>
      <c r="C1167" s="514">
        <v>0</v>
      </c>
      <c r="D1167" s="514">
        <v>0</v>
      </c>
      <c r="E1167" s="514">
        <v>0</v>
      </c>
      <c r="F1167" s="514">
        <v>0</v>
      </c>
      <c r="G1167" s="514">
        <v>0</v>
      </c>
      <c r="H1167" s="514">
        <v>0</v>
      </c>
      <c r="I1167" s="514">
        <v>0</v>
      </c>
      <c r="J1167" s="514">
        <v>0</v>
      </c>
      <c r="K1167" s="514">
        <v>0</v>
      </c>
      <c r="L1167" s="514">
        <v>0</v>
      </c>
      <c r="M1167" s="514">
        <v>0</v>
      </c>
      <c r="N1167" s="514">
        <v>0</v>
      </c>
      <c r="O1167" s="499"/>
      <c r="P1167" s="499"/>
      <c r="Q1167" s="499"/>
    </row>
    <row r="1168" spans="1:17" ht="14.4" x14ac:dyDescent="0.3">
      <c r="A1168" s="502">
        <v>2520000</v>
      </c>
      <c r="B1168" s="503" t="s">
        <v>2955</v>
      </c>
      <c r="C1168" s="514">
        <v>0</v>
      </c>
      <c r="D1168" s="514">
        <v>0</v>
      </c>
      <c r="E1168" s="514">
        <v>0</v>
      </c>
      <c r="F1168" s="514">
        <v>0</v>
      </c>
      <c r="G1168" s="514">
        <v>0</v>
      </c>
      <c r="H1168" s="514">
        <v>0</v>
      </c>
      <c r="I1168" s="514">
        <v>0</v>
      </c>
      <c r="J1168" s="514">
        <v>0</v>
      </c>
      <c r="K1168" s="514">
        <v>0</v>
      </c>
      <c r="L1168" s="514">
        <v>0</v>
      </c>
      <c r="M1168" s="514">
        <v>0</v>
      </c>
      <c r="N1168" s="514">
        <v>0</v>
      </c>
      <c r="O1168" s="499"/>
      <c r="P1168" s="499"/>
      <c r="Q1168" s="499"/>
    </row>
    <row r="1169" spans="1:17" ht="14.4" x14ac:dyDescent="0.3">
      <c r="A1169" s="502">
        <v>2530110</v>
      </c>
      <c r="B1169" s="503" t="s">
        <v>2956</v>
      </c>
      <c r="C1169" s="514">
        <v>0</v>
      </c>
      <c r="D1169" s="514">
        <v>0</v>
      </c>
      <c r="E1169" s="514">
        <v>0</v>
      </c>
      <c r="F1169" s="514">
        <v>0</v>
      </c>
      <c r="G1169" s="514">
        <v>0</v>
      </c>
      <c r="H1169" s="514">
        <v>0</v>
      </c>
      <c r="I1169" s="514">
        <v>0</v>
      </c>
      <c r="J1169" s="514">
        <v>0</v>
      </c>
      <c r="K1169" s="514">
        <v>0</v>
      </c>
      <c r="L1169" s="514">
        <v>0</v>
      </c>
      <c r="M1169" s="514">
        <v>0</v>
      </c>
      <c r="N1169" s="514">
        <v>0</v>
      </c>
      <c r="O1169" s="499"/>
      <c r="P1169" s="499"/>
      <c r="Q1169" s="499"/>
    </row>
    <row r="1170" spans="1:17" ht="14.4" x14ac:dyDescent="0.3">
      <c r="A1170" s="502">
        <v>2530120</v>
      </c>
      <c r="B1170" s="503" t="s">
        <v>2957</v>
      </c>
      <c r="C1170" s="514">
        <v>0</v>
      </c>
      <c r="D1170" s="514">
        <v>0</v>
      </c>
      <c r="E1170" s="514">
        <v>0</v>
      </c>
      <c r="F1170" s="514">
        <v>0</v>
      </c>
      <c r="G1170" s="514">
        <v>0</v>
      </c>
      <c r="H1170" s="514">
        <v>0</v>
      </c>
      <c r="I1170" s="514">
        <v>0</v>
      </c>
      <c r="J1170" s="514">
        <v>0</v>
      </c>
      <c r="K1170" s="514">
        <v>0</v>
      </c>
      <c r="L1170" s="514">
        <v>0</v>
      </c>
      <c r="M1170" s="514">
        <v>0</v>
      </c>
      <c r="N1170" s="514">
        <v>0</v>
      </c>
      <c r="O1170" s="499"/>
      <c r="P1170" s="499"/>
      <c r="Q1170" s="499"/>
    </row>
    <row r="1171" spans="1:17" ht="14.4" x14ac:dyDescent="0.3">
      <c r="A1171" s="502">
        <v>2530130</v>
      </c>
      <c r="B1171" s="503" t="s">
        <v>2958</v>
      </c>
      <c r="C1171" s="514">
        <v>24374196.91</v>
      </c>
      <c r="D1171" s="514">
        <v>26010979.280000001</v>
      </c>
      <c r="E1171" s="514">
        <v>27887524.800000001</v>
      </c>
      <c r="F1171" s="514">
        <v>22807927.530000001</v>
      </c>
      <c r="G1171" s="514">
        <v>24798292.120000001</v>
      </c>
      <c r="H1171" s="514">
        <v>27223535.82</v>
      </c>
      <c r="I1171" s="514">
        <v>22912530.809999999</v>
      </c>
      <c r="J1171" s="514">
        <v>24889034.77</v>
      </c>
      <c r="K1171" s="514">
        <v>26832122.32</v>
      </c>
      <c r="L1171" s="514">
        <v>28659386.98</v>
      </c>
      <c r="M1171" s="514">
        <v>30440704.960000001</v>
      </c>
      <c r="N1171" s="514">
        <v>32170589.07</v>
      </c>
      <c r="O1171" s="499"/>
      <c r="P1171" s="499"/>
      <c r="Q1171" s="499"/>
    </row>
    <row r="1172" spans="1:17" ht="14.4" x14ac:dyDescent="0.3">
      <c r="A1172" s="502">
        <v>2530210</v>
      </c>
      <c r="B1172" s="503" t="s">
        <v>2959</v>
      </c>
      <c r="C1172" s="514">
        <v>0</v>
      </c>
      <c r="D1172" s="514">
        <v>0</v>
      </c>
      <c r="E1172" s="514">
        <v>0</v>
      </c>
      <c r="F1172" s="514">
        <v>0</v>
      </c>
      <c r="G1172" s="514">
        <v>0</v>
      </c>
      <c r="H1172" s="514">
        <v>0</v>
      </c>
      <c r="I1172" s="514">
        <v>0</v>
      </c>
      <c r="J1172" s="514">
        <v>0</v>
      </c>
      <c r="K1172" s="514">
        <v>0</v>
      </c>
      <c r="L1172" s="514">
        <v>0</v>
      </c>
      <c r="M1172" s="514">
        <v>0</v>
      </c>
      <c r="N1172" s="514">
        <v>0</v>
      </c>
      <c r="O1172" s="499"/>
      <c r="P1172" s="499"/>
      <c r="Q1172" s="499"/>
    </row>
    <row r="1173" spans="1:17" ht="14.4" x14ac:dyDescent="0.3">
      <c r="A1173" s="502">
        <v>2530299</v>
      </c>
      <c r="B1173" s="503" t="s">
        <v>2960</v>
      </c>
      <c r="C1173" s="514">
        <v>0</v>
      </c>
      <c r="D1173" s="514">
        <v>0</v>
      </c>
      <c r="E1173" s="514">
        <v>0</v>
      </c>
      <c r="F1173" s="514">
        <v>0</v>
      </c>
      <c r="G1173" s="514">
        <v>0</v>
      </c>
      <c r="H1173" s="514">
        <v>0</v>
      </c>
      <c r="I1173" s="514">
        <v>0</v>
      </c>
      <c r="J1173" s="514">
        <v>0</v>
      </c>
      <c r="K1173" s="514">
        <v>0</v>
      </c>
      <c r="L1173" s="514">
        <v>0</v>
      </c>
      <c r="M1173" s="514">
        <v>0</v>
      </c>
      <c r="N1173" s="514">
        <v>0</v>
      </c>
      <c r="O1173" s="499"/>
      <c r="P1173" s="499"/>
      <c r="Q1173" s="499"/>
    </row>
    <row r="1174" spans="1:17" ht="14.4" x14ac:dyDescent="0.3">
      <c r="A1174" s="502">
        <v>2530300</v>
      </c>
      <c r="B1174" s="503" t="s">
        <v>2961</v>
      </c>
      <c r="C1174" s="514">
        <v>0</v>
      </c>
      <c r="D1174" s="514">
        <v>0</v>
      </c>
      <c r="E1174" s="514">
        <v>0</v>
      </c>
      <c r="F1174" s="514">
        <v>0</v>
      </c>
      <c r="G1174" s="514">
        <v>0</v>
      </c>
      <c r="H1174" s="514">
        <v>0</v>
      </c>
      <c r="I1174" s="514">
        <v>0</v>
      </c>
      <c r="J1174" s="514">
        <v>0</v>
      </c>
      <c r="K1174" s="514">
        <v>0</v>
      </c>
      <c r="L1174" s="514">
        <v>0</v>
      </c>
      <c r="M1174" s="514">
        <v>0</v>
      </c>
      <c r="N1174" s="514">
        <v>0</v>
      </c>
      <c r="O1174" s="499"/>
      <c r="P1174" s="499"/>
      <c r="Q1174" s="499"/>
    </row>
    <row r="1175" spans="1:17" ht="14.4" x14ac:dyDescent="0.3">
      <c r="A1175" s="502">
        <v>2530301</v>
      </c>
      <c r="B1175" s="503" t="s">
        <v>2962</v>
      </c>
      <c r="C1175" s="514">
        <v>0</v>
      </c>
      <c r="D1175" s="514">
        <v>0</v>
      </c>
      <c r="E1175" s="514">
        <v>0</v>
      </c>
      <c r="F1175" s="514">
        <v>0</v>
      </c>
      <c r="G1175" s="514">
        <v>0</v>
      </c>
      <c r="H1175" s="514">
        <v>0</v>
      </c>
      <c r="I1175" s="514">
        <v>0</v>
      </c>
      <c r="J1175" s="514">
        <v>0</v>
      </c>
      <c r="K1175" s="514">
        <v>0</v>
      </c>
      <c r="L1175" s="514">
        <v>0</v>
      </c>
      <c r="M1175" s="514">
        <v>0</v>
      </c>
      <c r="N1175" s="514">
        <v>0</v>
      </c>
      <c r="O1175" s="499"/>
      <c r="P1175" s="499"/>
      <c r="Q1175" s="499"/>
    </row>
    <row r="1176" spans="1:17" ht="14.4" x14ac:dyDescent="0.3">
      <c r="A1176" s="502">
        <v>2530302</v>
      </c>
      <c r="B1176" s="503" t="s">
        <v>2963</v>
      </c>
      <c r="C1176" s="514">
        <v>703866.9</v>
      </c>
      <c r="D1176" s="514">
        <v>712772.26</v>
      </c>
      <c r="E1176" s="514">
        <v>721683.73</v>
      </c>
      <c r="F1176" s="514">
        <v>655519.81000000006</v>
      </c>
      <c r="G1176" s="514">
        <v>664171.75</v>
      </c>
      <c r="H1176" s="514">
        <v>673145.75</v>
      </c>
      <c r="I1176" s="514">
        <v>671914.27</v>
      </c>
      <c r="J1176" s="514">
        <v>675756.6</v>
      </c>
      <c r="K1176" s="514">
        <v>609639.56999999995</v>
      </c>
      <c r="L1176" s="514">
        <v>618315.30000000005</v>
      </c>
      <c r="M1176" s="514">
        <v>627211.98</v>
      </c>
      <c r="N1176" s="514">
        <v>636031.44999999995</v>
      </c>
      <c r="O1176" s="499"/>
      <c r="P1176" s="499"/>
      <c r="Q1176" s="499"/>
    </row>
    <row r="1177" spans="1:17" ht="14.4" x14ac:dyDescent="0.3">
      <c r="A1177" s="502">
        <v>2530310</v>
      </c>
      <c r="B1177" s="503" t="s">
        <v>2964</v>
      </c>
      <c r="C1177" s="514">
        <v>0</v>
      </c>
      <c r="D1177" s="514">
        <v>0</v>
      </c>
      <c r="E1177" s="514">
        <v>0</v>
      </c>
      <c r="F1177" s="514">
        <v>0</v>
      </c>
      <c r="G1177" s="514">
        <v>0</v>
      </c>
      <c r="H1177" s="514">
        <v>0</v>
      </c>
      <c r="I1177" s="514">
        <v>0</v>
      </c>
      <c r="J1177" s="514">
        <v>0</v>
      </c>
      <c r="K1177" s="514">
        <v>0</v>
      </c>
      <c r="L1177" s="514">
        <v>0</v>
      </c>
      <c r="M1177" s="514">
        <v>0</v>
      </c>
      <c r="N1177" s="514">
        <v>0</v>
      </c>
      <c r="O1177" s="499"/>
      <c r="P1177" s="499"/>
      <c r="Q1177" s="499"/>
    </row>
    <row r="1178" spans="1:17" ht="14.4" x14ac:dyDescent="0.3">
      <c r="A1178" s="502">
        <v>2530320</v>
      </c>
      <c r="B1178" s="503" t="s">
        <v>2965</v>
      </c>
      <c r="C1178" s="514">
        <v>0</v>
      </c>
      <c r="D1178" s="514">
        <v>0</v>
      </c>
      <c r="E1178" s="514">
        <v>0</v>
      </c>
      <c r="F1178" s="514">
        <v>0</v>
      </c>
      <c r="G1178" s="514">
        <v>0</v>
      </c>
      <c r="H1178" s="514">
        <v>0</v>
      </c>
      <c r="I1178" s="514">
        <v>0</v>
      </c>
      <c r="J1178" s="514">
        <v>0</v>
      </c>
      <c r="K1178" s="514">
        <v>0</v>
      </c>
      <c r="L1178" s="514">
        <v>0</v>
      </c>
      <c r="M1178" s="514">
        <v>0</v>
      </c>
      <c r="N1178" s="514">
        <v>0</v>
      </c>
      <c r="O1178" s="499"/>
      <c r="P1178" s="499"/>
      <c r="Q1178" s="499"/>
    </row>
    <row r="1179" spans="1:17" ht="14.4" x14ac:dyDescent="0.3">
      <c r="A1179" s="502">
        <v>2530325</v>
      </c>
      <c r="B1179" s="503" t="s">
        <v>2966</v>
      </c>
      <c r="C1179" s="514">
        <v>0</v>
      </c>
      <c r="D1179" s="514">
        <v>0</v>
      </c>
      <c r="E1179" s="514">
        <v>0</v>
      </c>
      <c r="F1179" s="514">
        <v>0</v>
      </c>
      <c r="G1179" s="514">
        <v>0</v>
      </c>
      <c r="H1179" s="514">
        <v>0</v>
      </c>
      <c r="I1179" s="514">
        <v>0</v>
      </c>
      <c r="J1179" s="514">
        <v>0</v>
      </c>
      <c r="K1179" s="514">
        <v>0</v>
      </c>
      <c r="L1179" s="514">
        <v>0</v>
      </c>
      <c r="M1179" s="514">
        <v>0</v>
      </c>
      <c r="N1179" s="514">
        <v>0</v>
      </c>
      <c r="O1179" s="499"/>
      <c r="P1179" s="499"/>
      <c r="Q1179" s="499"/>
    </row>
    <row r="1180" spans="1:17" ht="14.4" x14ac:dyDescent="0.3">
      <c r="A1180" s="502">
        <v>2530330</v>
      </c>
      <c r="B1180" s="503" t="s">
        <v>2967</v>
      </c>
      <c r="C1180" s="514">
        <v>0</v>
      </c>
      <c r="D1180" s="514">
        <v>0</v>
      </c>
      <c r="E1180" s="514">
        <v>0</v>
      </c>
      <c r="F1180" s="514">
        <v>0</v>
      </c>
      <c r="G1180" s="514">
        <v>0</v>
      </c>
      <c r="H1180" s="514">
        <v>0</v>
      </c>
      <c r="I1180" s="514">
        <v>0</v>
      </c>
      <c r="J1180" s="514">
        <v>0</v>
      </c>
      <c r="K1180" s="514">
        <v>0</v>
      </c>
      <c r="L1180" s="514">
        <v>0</v>
      </c>
      <c r="M1180" s="514">
        <v>0</v>
      </c>
      <c r="N1180" s="514">
        <v>0</v>
      </c>
      <c r="O1180" s="499"/>
      <c r="P1180" s="499"/>
      <c r="Q1180" s="499"/>
    </row>
    <row r="1181" spans="1:17" ht="14.4" x14ac:dyDescent="0.3">
      <c r="A1181" s="502">
        <v>2530340</v>
      </c>
      <c r="B1181" s="503" t="s">
        <v>2968</v>
      </c>
      <c r="C1181" s="514">
        <v>5962170.75</v>
      </c>
      <c r="D1181" s="514">
        <v>5962170.75</v>
      </c>
      <c r="E1181" s="514">
        <v>3124954.25</v>
      </c>
      <c r="F1181" s="514">
        <v>3124954.25</v>
      </c>
      <c r="G1181" s="514">
        <v>3124954.25</v>
      </c>
      <c r="H1181" s="514">
        <v>4262518.25</v>
      </c>
      <c r="I1181" s="514">
        <v>4262518.25</v>
      </c>
      <c r="J1181" s="514">
        <v>4262518.25</v>
      </c>
      <c r="K1181" s="514">
        <v>5400082.25</v>
      </c>
      <c r="L1181" s="514">
        <v>5400082.25</v>
      </c>
      <c r="M1181" s="514">
        <v>5400082.25</v>
      </c>
      <c r="N1181" s="514">
        <v>6537646.25</v>
      </c>
      <c r="O1181" s="499"/>
      <c r="P1181" s="499"/>
      <c r="Q1181" s="499"/>
    </row>
    <row r="1182" spans="1:17" ht="14.4" x14ac:dyDescent="0.3">
      <c r="A1182" s="502">
        <v>2530350</v>
      </c>
      <c r="B1182" s="503" t="s">
        <v>2969</v>
      </c>
      <c r="C1182" s="514">
        <v>0</v>
      </c>
      <c r="D1182" s="514">
        <v>0</v>
      </c>
      <c r="E1182" s="514">
        <v>0</v>
      </c>
      <c r="F1182" s="514">
        <v>0</v>
      </c>
      <c r="G1182" s="514">
        <v>0</v>
      </c>
      <c r="H1182" s="514">
        <v>0</v>
      </c>
      <c r="I1182" s="514">
        <v>0</v>
      </c>
      <c r="J1182" s="514">
        <v>0</v>
      </c>
      <c r="K1182" s="514">
        <v>0</v>
      </c>
      <c r="L1182" s="514">
        <v>0</v>
      </c>
      <c r="M1182" s="514">
        <v>0</v>
      </c>
      <c r="N1182" s="514">
        <v>0</v>
      </c>
      <c r="O1182" s="499"/>
      <c r="P1182" s="499"/>
      <c r="Q1182" s="499"/>
    </row>
    <row r="1183" spans="1:17" ht="14.4" x14ac:dyDescent="0.3">
      <c r="A1183" s="502">
        <v>2530360</v>
      </c>
      <c r="B1183" s="503" t="s">
        <v>2970</v>
      </c>
      <c r="C1183" s="514">
        <v>0</v>
      </c>
      <c r="D1183" s="514">
        <v>0</v>
      </c>
      <c r="E1183" s="514">
        <v>0</v>
      </c>
      <c r="F1183" s="514">
        <v>0</v>
      </c>
      <c r="G1183" s="514">
        <v>0</v>
      </c>
      <c r="H1183" s="514">
        <v>0</v>
      </c>
      <c r="I1183" s="514">
        <v>0</v>
      </c>
      <c r="J1183" s="514">
        <v>0</v>
      </c>
      <c r="K1183" s="514">
        <v>0</v>
      </c>
      <c r="L1183" s="514">
        <v>0</v>
      </c>
      <c r="M1183" s="514">
        <v>0</v>
      </c>
      <c r="N1183" s="514">
        <v>0</v>
      </c>
      <c r="O1183" s="499"/>
      <c r="P1183" s="499"/>
      <c r="Q1183" s="499"/>
    </row>
    <row r="1184" spans="1:17" ht="14.4" x14ac:dyDescent="0.3">
      <c r="A1184" s="502">
        <v>2530370</v>
      </c>
      <c r="B1184" s="503" t="s">
        <v>2971</v>
      </c>
      <c r="C1184" s="514">
        <v>0</v>
      </c>
      <c r="D1184" s="514">
        <v>0</v>
      </c>
      <c r="E1184" s="514">
        <v>0</v>
      </c>
      <c r="F1184" s="514">
        <v>0</v>
      </c>
      <c r="G1184" s="514">
        <v>0</v>
      </c>
      <c r="H1184" s="514">
        <v>0</v>
      </c>
      <c r="I1184" s="514">
        <v>0</v>
      </c>
      <c r="J1184" s="514">
        <v>0</v>
      </c>
      <c r="K1184" s="514">
        <v>0</v>
      </c>
      <c r="L1184" s="514">
        <v>0</v>
      </c>
      <c r="M1184" s="514">
        <v>0</v>
      </c>
      <c r="N1184" s="514">
        <v>0</v>
      </c>
      <c r="O1184" s="499"/>
      <c r="P1184" s="499"/>
      <c r="Q1184" s="499"/>
    </row>
    <row r="1185" spans="1:17" ht="14.4" x14ac:dyDescent="0.3">
      <c r="A1185" s="502">
        <v>2530800</v>
      </c>
      <c r="B1185" s="503" t="s">
        <v>2972</v>
      </c>
      <c r="C1185" s="514">
        <v>800166.68</v>
      </c>
      <c r="D1185" s="514">
        <v>764079.5</v>
      </c>
      <c r="E1185" s="514">
        <v>734849.57</v>
      </c>
      <c r="F1185" s="514">
        <v>822945.58</v>
      </c>
      <c r="G1185" s="514">
        <v>998112.26</v>
      </c>
      <c r="H1185" s="514">
        <v>502572.24</v>
      </c>
      <c r="I1185" s="514">
        <v>677738.92</v>
      </c>
      <c r="J1185" s="514">
        <v>852905.6</v>
      </c>
      <c r="K1185" s="514">
        <v>776038.88</v>
      </c>
      <c r="L1185" s="514">
        <v>665818.31000000006</v>
      </c>
      <c r="M1185" s="514">
        <v>840984.99</v>
      </c>
      <c r="N1185" s="514">
        <v>956000</v>
      </c>
      <c r="O1185" s="499"/>
      <c r="P1185" s="499"/>
      <c r="Q1185" s="499"/>
    </row>
    <row r="1186" spans="1:17" ht="14.4" x14ac:dyDescent="0.3">
      <c r="A1186" s="502">
        <v>2540020</v>
      </c>
      <c r="B1186" s="503" t="s">
        <v>2973</v>
      </c>
      <c r="C1186" s="514">
        <v>0</v>
      </c>
      <c r="D1186" s="514">
        <v>0</v>
      </c>
      <c r="E1186" s="514">
        <v>0</v>
      </c>
      <c r="F1186" s="514">
        <v>0</v>
      </c>
      <c r="G1186" s="514">
        <v>0</v>
      </c>
      <c r="H1186" s="514">
        <v>0</v>
      </c>
      <c r="I1186" s="514">
        <v>0</v>
      </c>
      <c r="J1186" s="514">
        <v>78033.42</v>
      </c>
      <c r="K1186" s="514">
        <v>8423349.0800000001</v>
      </c>
      <c r="L1186" s="514">
        <v>11281015.539999999</v>
      </c>
      <c r="M1186" s="514">
        <v>14071547.289999999</v>
      </c>
      <c r="N1186" s="514">
        <v>7046379.0999999996</v>
      </c>
      <c r="O1186" s="499"/>
      <c r="P1186" s="499"/>
      <c r="Q1186" s="499"/>
    </row>
    <row r="1187" spans="1:17" ht="14.4" x14ac:dyDescent="0.3">
      <c r="A1187" s="502">
        <v>2540030</v>
      </c>
      <c r="B1187" s="503" t="s">
        <v>2974</v>
      </c>
      <c r="C1187" s="514">
        <v>0</v>
      </c>
      <c r="D1187" s="514">
        <v>0</v>
      </c>
      <c r="E1187" s="514">
        <v>0</v>
      </c>
      <c r="F1187" s="514">
        <v>0</v>
      </c>
      <c r="G1187" s="514">
        <v>0</v>
      </c>
      <c r="H1187" s="514">
        <v>0</v>
      </c>
      <c r="I1187" s="514">
        <v>0</v>
      </c>
      <c r="J1187" s="514">
        <v>0</v>
      </c>
      <c r="K1187" s="514">
        <v>0</v>
      </c>
      <c r="L1187" s="514">
        <v>0</v>
      </c>
      <c r="M1187" s="514">
        <v>0</v>
      </c>
      <c r="N1187" s="514">
        <v>0</v>
      </c>
      <c r="O1187" s="499"/>
      <c r="P1187" s="499"/>
      <c r="Q1187" s="499"/>
    </row>
    <row r="1188" spans="1:17" ht="14.4" x14ac:dyDescent="0.3">
      <c r="A1188" s="502">
        <v>2540040</v>
      </c>
      <c r="B1188" s="503" t="s">
        <v>2975</v>
      </c>
      <c r="C1188" s="514">
        <v>2185664</v>
      </c>
      <c r="D1188" s="514">
        <v>3060597</v>
      </c>
      <c r="E1188" s="514">
        <v>3602461</v>
      </c>
      <c r="F1188" s="514">
        <v>4279637</v>
      </c>
      <c r="G1188" s="514">
        <v>5645954</v>
      </c>
      <c r="H1188" s="514">
        <v>7935166</v>
      </c>
      <c r="I1188" s="514">
        <v>9890272</v>
      </c>
      <c r="J1188" s="514">
        <v>12203362</v>
      </c>
      <c r="K1188" s="514">
        <v>14625655</v>
      </c>
      <c r="L1188" s="514">
        <v>16624906</v>
      </c>
      <c r="M1188" s="514">
        <v>17819025</v>
      </c>
      <c r="N1188" s="514">
        <v>18751686</v>
      </c>
      <c r="O1188" s="499"/>
      <c r="P1188" s="499"/>
      <c r="Q1188" s="499"/>
    </row>
    <row r="1189" spans="1:17" ht="14.4" x14ac:dyDescent="0.3">
      <c r="A1189" s="502">
        <v>2540050</v>
      </c>
      <c r="B1189" s="503" t="s">
        <v>2976</v>
      </c>
      <c r="C1189" s="514">
        <v>3968801</v>
      </c>
      <c r="D1189" s="514">
        <v>3482997</v>
      </c>
      <c r="E1189" s="514">
        <v>2990204</v>
      </c>
      <c r="F1189" s="514">
        <v>2546362</v>
      </c>
      <c r="G1189" s="514">
        <v>2261919</v>
      </c>
      <c r="H1189" s="514">
        <v>2209764</v>
      </c>
      <c r="I1189" s="514">
        <v>2257823</v>
      </c>
      <c r="J1189" s="514">
        <v>2314725</v>
      </c>
      <c r="K1189" s="514">
        <v>2405575</v>
      </c>
      <c r="L1189" s="514">
        <v>2319392</v>
      </c>
      <c r="M1189" s="514">
        <v>2007066</v>
      </c>
      <c r="N1189" s="514">
        <v>1627409</v>
      </c>
      <c r="O1189" s="499"/>
      <c r="P1189" s="499"/>
      <c r="Q1189" s="499"/>
    </row>
    <row r="1190" spans="1:17" ht="14.4" x14ac:dyDescent="0.3">
      <c r="A1190" s="502">
        <v>2540060</v>
      </c>
      <c r="B1190" s="503" t="s">
        <v>2977</v>
      </c>
      <c r="C1190" s="514">
        <v>0</v>
      </c>
      <c r="D1190" s="514">
        <v>0</v>
      </c>
      <c r="E1190" s="514">
        <v>0</v>
      </c>
      <c r="F1190" s="514">
        <v>0</v>
      </c>
      <c r="G1190" s="514">
        <v>0</v>
      </c>
      <c r="H1190" s="514">
        <v>0</v>
      </c>
      <c r="I1190" s="514">
        <v>0</v>
      </c>
      <c r="J1190" s="514">
        <v>0</v>
      </c>
      <c r="K1190" s="514">
        <v>0</v>
      </c>
      <c r="L1190" s="514">
        <v>0</v>
      </c>
      <c r="M1190" s="514">
        <v>0</v>
      </c>
      <c r="N1190" s="514">
        <v>0</v>
      </c>
      <c r="O1190" s="499"/>
      <c r="P1190" s="499"/>
      <c r="Q1190" s="499"/>
    </row>
    <row r="1191" spans="1:17" ht="14.4" x14ac:dyDescent="0.3">
      <c r="A1191" s="502">
        <v>2540071</v>
      </c>
      <c r="B1191" s="503" t="s">
        <v>2978</v>
      </c>
      <c r="C1191" s="514">
        <v>0</v>
      </c>
      <c r="D1191" s="514">
        <v>0</v>
      </c>
      <c r="E1191" s="514">
        <v>0</v>
      </c>
      <c r="F1191" s="514">
        <v>0</v>
      </c>
      <c r="G1191" s="514">
        <v>0</v>
      </c>
      <c r="H1191" s="514">
        <v>0</v>
      </c>
      <c r="I1191" s="514">
        <v>0</v>
      </c>
      <c r="J1191" s="514">
        <v>0</v>
      </c>
      <c r="K1191" s="514">
        <v>0</v>
      </c>
      <c r="L1191" s="514">
        <v>0</v>
      </c>
      <c r="M1191" s="514">
        <v>0</v>
      </c>
      <c r="N1191" s="514">
        <v>0</v>
      </c>
      <c r="O1191" s="499"/>
      <c r="P1191" s="499"/>
      <c r="Q1191" s="499"/>
    </row>
    <row r="1192" spans="1:17" ht="14.4" x14ac:dyDescent="0.3">
      <c r="A1192" s="502">
        <v>2540080</v>
      </c>
      <c r="B1192" s="503" t="s">
        <v>2979</v>
      </c>
      <c r="C1192" s="514">
        <v>0</v>
      </c>
      <c r="D1192" s="514">
        <v>0</v>
      </c>
      <c r="E1192" s="514">
        <v>0</v>
      </c>
      <c r="F1192" s="514">
        <v>0</v>
      </c>
      <c r="G1192" s="514">
        <v>0</v>
      </c>
      <c r="H1192" s="514">
        <v>0</v>
      </c>
      <c r="I1192" s="514">
        <v>0</v>
      </c>
      <c r="J1192" s="514">
        <v>0</v>
      </c>
      <c r="K1192" s="514">
        <v>0</v>
      </c>
      <c r="L1192" s="514">
        <v>0</v>
      </c>
      <c r="M1192" s="514">
        <v>0</v>
      </c>
      <c r="N1192" s="514">
        <v>0</v>
      </c>
      <c r="O1192" s="499"/>
      <c r="P1192" s="499"/>
      <c r="Q1192" s="499"/>
    </row>
    <row r="1193" spans="1:17" ht="14.4" x14ac:dyDescent="0.3">
      <c r="A1193" s="502">
        <v>2540082</v>
      </c>
      <c r="B1193" s="503" t="s">
        <v>2980</v>
      </c>
      <c r="C1193" s="514">
        <v>0</v>
      </c>
      <c r="D1193" s="514">
        <v>0</v>
      </c>
      <c r="E1193" s="514">
        <v>0</v>
      </c>
      <c r="F1193" s="514">
        <v>0</v>
      </c>
      <c r="G1193" s="514">
        <v>0</v>
      </c>
      <c r="H1193" s="514">
        <v>0</v>
      </c>
      <c r="I1193" s="514">
        <v>0</v>
      </c>
      <c r="J1193" s="514">
        <v>0</v>
      </c>
      <c r="K1193" s="514">
        <v>0</v>
      </c>
      <c r="L1193" s="514">
        <v>0</v>
      </c>
      <c r="M1193" s="514">
        <v>0</v>
      </c>
      <c r="N1193" s="514">
        <v>0</v>
      </c>
      <c r="O1193" s="499"/>
      <c r="P1193" s="499"/>
      <c r="Q1193" s="499"/>
    </row>
    <row r="1194" spans="1:17" ht="14.4" x14ac:dyDescent="0.3">
      <c r="A1194" s="502">
        <v>2540083</v>
      </c>
      <c r="B1194" s="503" t="s">
        <v>2981</v>
      </c>
      <c r="C1194" s="514">
        <v>0</v>
      </c>
      <c r="D1194" s="514">
        <v>0</v>
      </c>
      <c r="E1194" s="514">
        <v>0</v>
      </c>
      <c r="F1194" s="514">
        <v>0</v>
      </c>
      <c r="G1194" s="514">
        <v>0</v>
      </c>
      <c r="H1194" s="514">
        <v>0</v>
      </c>
      <c r="I1194" s="514">
        <v>0</v>
      </c>
      <c r="J1194" s="514">
        <v>0</v>
      </c>
      <c r="K1194" s="514">
        <v>0</v>
      </c>
      <c r="L1194" s="514">
        <v>0</v>
      </c>
      <c r="M1194" s="514">
        <v>0</v>
      </c>
      <c r="N1194" s="514">
        <v>0</v>
      </c>
      <c r="O1194" s="499"/>
      <c r="P1194" s="499"/>
      <c r="Q1194" s="499"/>
    </row>
    <row r="1195" spans="1:17" ht="14.4" x14ac:dyDescent="0.3">
      <c r="A1195" s="502">
        <v>2540090</v>
      </c>
      <c r="B1195" s="503" t="s">
        <v>2982</v>
      </c>
      <c r="C1195" s="514">
        <v>0</v>
      </c>
      <c r="D1195" s="514">
        <v>0</v>
      </c>
      <c r="E1195" s="514">
        <v>0</v>
      </c>
      <c r="F1195" s="514">
        <v>0</v>
      </c>
      <c r="G1195" s="514">
        <v>0</v>
      </c>
      <c r="H1195" s="514">
        <v>0</v>
      </c>
      <c r="I1195" s="514">
        <v>0</v>
      </c>
      <c r="J1195" s="514">
        <v>0</v>
      </c>
      <c r="K1195" s="514">
        <v>0</v>
      </c>
      <c r="L1195" s="514">
        <v>0</v>
      </c>
      <c r="M1195" s="514">
        <v>0</v>
      </c>
      <c r="N1195" s="514">
        <v>0</v>
      </c>
      <c r="O1195" s="499"/>
      <c r="P1195" s="499"/>
      <c r="Q1195" s="499"/>
    </row>
    <row r="1196" spans="1:17" ht="14.4" x14ac:dyDescent="0.3">
      <c r="A1196" s="502">
        <v>2540105</v>
      </c>
      <c r="B1196" s="503" t="s">
        <v>2983</v>
      </c>
      <c r="C1196" s="514">
        <v>0</v>
      </c>
      <c r="D1196" s="514">
        <v>0</v>
      </c>
      <c r="E1196" s="514">
        <v>0</v>
      </c>
      <c r="F1196" s="514">
        <v>528000</v>
      </c>
      <c r="G1196" s="514">
        <v>528000</v>
      </c>
      <c r="H1196" s="514">
        <v>528000</v>
      </c>
      <c r="I1196" s="514">
        <v>528000</v>
      </c>
      <c r="J1196" s="514">
        <v>528000</v>
      </c>
      <c r="K1196" s="514">
        <v>528000</v>
      </c>
      <c r="L1196" s="514">
        <v>528000</v>
      </c>
      <c r="M1196" s="514">
        <v>528000</v>
      </c>
      <c r="N1196" s="514">
        <v>528000</v>
      </c>
      <c r="O1196" s="499"/>
      <c r="P1196" s="499"/>
      <c r="Q1196" s="499"/>
    </row>
    <row r="1197" spans="1:17" ht="14.4" x14ac:dyDescent="0.3">
      <c r="A1197" s="502">
        <v>2540110</v>
      </c>
      <c r="B1197" s="503" t="s">
        <v>2984</v>
      </c>
      <c r="C1197" s="514">
        <v>0</v>
      </c>
      <c r="D1197" s="514">
        <v>0</v>
      </c>
      <c r="E1197" s="514">
        <v>0</v>
      </c>
      <c r="F1197" s="514">
        <v>0</v>
      </c>
      <c r="G1197" s="514">
        <v>0</v>
      </c>
      <c r="H1197" s="514">
        <v>0</v>
      </c>
      <c r="I1197" s="514">
        <v>0</v>
      </c>
      <c r="J1197" s="514">
        <v>0</v>
      </c>
      <c r="K1197" s="514">
        <v>0</v>
      </c>
      <c r="L1197" s="514">
        <v>0</v>
      </c>
      <c r="M1197" s="514">
        <v>0</v>
      </c>
      <c r="N1197" s="514">
        <v>0</v>
      </c>
      <c r="O1197" s="499"/>
      <c r="P1197" s="499"/>
      <c r="Q1197" s="499"/>
    </row>
    <row r="1198" spans="1:17" ht="14.4" x14ac:dyDescent="0.3">
      <c r="A1198" s="502">
        <v>2540180</v>
      </c>
      <c r="B1198" s="503" t="s">
        <v>2985</v>
      </c>
      <c r="C1198" s="514">
        <v>2360.88</v>
      </c>
      <c r="D1198" s="514">
        <v>1775.16</v>
      </c>
      <c r="E1198" s="514">
        <v>1479.3</v>
      </c>
      <c r="F1198" s="514">
        <v>1183.44</v>
      </c>
      <c r="G1198" s="514">
        <v>887.58</v>
      </c>
      <c r="H1198" s="514">
        <v>591.72</v>
      </c>
      <c r="I1198" s="514">
        <v>295.86</v>
      </c>
      <c r="J1198" s="514">
        <v>0</v>
      </c>
      <c r="K1198" s="514">
        <v>0</v>
      </c>
      <c r="L1198" s="514">
        <v>0</v>
      </c>
      <c r="M1198" s="514">
        <v>0</v>
      </c>
      <c r="N1198" s="514">
        <v>0</v>
      </c>
      <c r="O1198" s="499"/>
      <c r="P1198" s="499"/>
      <c r="Q1198" s="499"/>
    </row>
    <row r="1199" spans="1:17" ht="14.4" x14ac:dyDescent="0.3">
      <c r="A1199" s="502">
        <v>2540181</v>
      </c>
      <c r="B1199" s="503" t="s">
        <v>2077</v>
      </c>
      <c r="C1199" s="514">
        <v>0</v>
      </c>
      <c r="D1199" s="514">
        <v>0</v>
      </c>
      <c r="E1199" s="514">
        <v>0</v>
      </c>
      <c r="F1199" s="514">
        <v>0</v>
      </c>
      <c r="G1199" s="514">
        <v>0</v>
      </c>
      <c r="H1199" s="514">
        <v>0</v>
      </c>
      <c r="I1199" s="514">
        <v>0</v>
      </c>
      <c r="J1199" s="514">
        <v>0</v>
      </c>
      <c r="K1199" s="514">
        <v>0</v>
      </c>
      <c r="L1199" s="514">
        <v>0</v>
      </c>
      <c r="M1199" s="514">
        <v>0</v>
      </c>
      <c r="N1199" s="514">
        <v>0</v>
      </c>
      <c r="O1199" s="499"/>
      <c r="P1199" s="499"/>
      <c r="Q1199" s="499"/>
    </row>
    <row r="1200" spans="1:17" ht="14.4" x14ac:dyDescent="0.3">
      <c r="A1200" s="502">
        <v>2540182</v>
      </c>
      <c r="B1200" s="503" t="s">
        <v>2077</v>
      </c>
      <c r="C1200" s="514">
        <v>0</v>
      </c>
      <c r="D1200" s="514">
        <v>0</v>
      </c>
      <c r="E1200" s="514">
        <v>0</v>
      </c>
      <c r="F1200" s="514">
        <v>0</v>
      </c>
      <c r="G1200" s="514">
        <v>0</v>
      </c>
      <c r="H1200" s="514">
        <v>0</v>
      </c>
      <c r="I1200" s="514">
        <v>0</v>
      </c>
      <c r="J1200" s="514">
        <v>0</v>
      </c>
      <c r="K1200" s="514">
        <v>0</v>
      </c>
      <c r="L1200" s="514">
        <v>0</v>
      </c>
      <c r="M1200" s="514">
        <v>0</v>
      </c>
      <c r="N1200" s="514">
        <v>0</v>
      </c>
      <c r="O1200" s="499"/>
      <c r="P1200" s="499"/>
      <c r="Q1200" s="499"/>
    </row>
    <row r="1201" spans="1:17" ht="14.4" x14ac:dyDescent="0.3">
      <c r="A1201" s="502">
        <v>2540205</v>
      </c>
      <c r="B1201" s="503" t="s">
        <v>2986</v>
      </c>
      <c r="C1201" s="514">
        <v>528000</v>
      </c>
      <c r="D1201" s="514">
        <v>528000</v>
      </c>
      <c r="E1201" s="514">
        <v>528000</v>
      </c>
      <c r="F1201" s="514">
        <v>0</v>
      </c>
      <c r="G1201" s="514">
        <v>0</v>
      </c>
      <c r="H1201" s="514">
        <v>0</v>
      </c>
      <c r="I1201" s="514">
        <v>0</v>
      </c>
      <c r="J1201" s="514">
        <v>0</v>
      </c>
      <c r="K1201" s="514">
        <v>0</v>
      </c>
      <c r="L1201" s="514">
        <v>0</v>
      </c>
      <c r="M1201" s="514">
        <v>0</v>
      </c>
      <c r="N1201" s="514">
        <v>0</v>
      </c>
      <c r="O1201" s="499"/>
      <c r="P1201" s="499"/>
      <c r="Q1201" s="499"/>
    </row>
    <row r="1202" spans="1:17" ht="14.4" x14ac:dyDescent="0.3">
      <c r="A1202" s="502">
        <v>2540210</v>
      </c>
      <c r="B1202" s="503" t="s">
        <v>2987</v>
      </c>
      <c r="C1202" s="514">
        <v>60401</v>
      </c>
      <c r="D1202" s="514">
        <v>60203</v>
      </c>
      <c r="E1202" s="514">
        <v>60005</v>
      </c>
      <c r="F1202" s="514">
        <v>59807</v>
      </c>
      <c r="G1202" s="514">
        <v>59609</v>
      </c>
      <c r="H1202" s="514">
        <v>59411</v>
      </c>
      <c r="I1202" s="514">
        <v>59213</v>
      </c>
      <c r="J1202" s="514">
        <v>59015</v>
      </c>
      <c r="K1202" s="514">
        <v>58817</v>
      </c>
      <c r="L1202" s="514">
        <v>58619</v>
      </c>
      <c r="M1202" s="514">
        <v>58421</v>
      </c>
      <c r="N1202" s="514">
        <v>58223</v>
      </c>
      <c r="O1202" s="499"/>
      <c r="P1202" s="499"/>
      <c r="Q1202" s="499"/>
    </row>
    <row r="1203" spans="1:17" ht="14.4" x14ac:dyDescent="0.3">
      <c r="A1203" s="502">
        <v>2540211</v>
      </c>
      <c r="B1203" s="503" t="s">
        <v>2988</v>
      </c>
      <c r="C1203" s="514">
        <v>4014167.71</v>
      </c>
      <c r="D1203" s="514">
        <v>4085030.63</v>
      </c>
      <c r="E1203" s="514">
        <v>4153644.27</v>
      </c>
      <c r="F1203" s="514">
        <v>4224755.16</v>
      </c>
      <c r="G1203" s="514">
        <v>4302762.28</v>
      </c>
      <c r="H1203" s="514">
        <v>4392075</v>
      </c>
      <c r="I1203" s="514">
        <v>4485584.5199999996</v>
      </c>
      <c r="J1203" s="514">
        <v>4578833.28</v>
      </c>
      <c r="K1203" s="514">
        <v>4673800.43</v>
      </c>
      <c r="L1203" s="514">
        <v>4760530.33</v>
      </c>
      <c r="M1203" s="514">
        <v>4835897.09</v>
      </c>
      <c r="N1203" s="514">
        <v>4907979.1900000004</v>
      </c>
      <c r="O1203" s="499"/>
      <c r="P1203" s="499"/>
      <c r="Q1203" s="499"/>
    </row>
    <row r="1204" spans="1:17" ht="14.4" x14ac:dyDescent="0.3">
      <c r="A1204" s="502">
        <v>2540280</v>
      </c>
      <c r="B1204" s="503" t="s">
        <v>2989</v>
      </c>
      <c r="C1204" s="514">
        <v>0</v>
      </c>
      <c r="D1204" s="514">
        <v>0</v>
      </c>
      <c r="E1204" s="514">
        <v>0</v>
      </c>
      <c r="F1204" s="514">
        <v>0</v>
      </c>
      <c r="G1204" s="514">
        <v>0</v>
      </c>
      <c r="H1204" s="514">
        <v>0</v>
      </c>
      <c r="I1204" s="514">
        <v>0</v>
      </c>
      <c r="J1204" s="514">
        <v>0</v>
      </c>
      <c r="K1204" s="514">
        <v>0</v>
      </c>
      <c r="L1204" s="514">
        <v>0</v>
      </c>
      <c r="M1204" s="514">
        <v>0</v>
      </c>
      <c r="N1204" s="514">
        <v>0</v>
      </c>
      <c r="O1204" s="499"/>
      <c r="P1204" s="499"/>
      <c r="Q1204" s="499"/>
    </row>
    <row r="1205" spans="1:17" ht="14.4" x14ac:dyDescent="0.3">
      <c r="A1205" s="502">
        <v>2540281</v>
      </c>
      <c r="B1205" s="503" t="s">
        <v>2077</v>
      </c>
      <c r="C1205" s="514">
        <v>0</v>
      </c>
      <c r="D1205" s="514">
        <v>0</v>
      </c>
      <c r="E1205" s="514">
        <v>0</v>
      </c>
      <c r="F1205" s="514">
        <v>0</v>
      </c>
      <c r="G1205" s="514">
        <v>0</v>
      </c>
      <c r="H1205" s="514">
        <v>0</v>
      </c>
      <c r="I1205" s="514">
        <v>0</v>
      </c>
      <c r="J1205" s="514">
        <v>0</v>
      </c>
      <c r="K1205" s="514">
        <v>0</v>
      </c>
      <c r="L1205" s="514">
        <v>0</v>
      </c>
      <c r="M1205" s="514">
        <v>0</v>
      </c>
      <c r="N1205" s="514">
        <v>0</v>
      </c>
      <c r="O1205" s="499"/>
      <c r="P1205" s="499"/>
      <c r="Q1205" s="499"/>
    </row>
    <row r="1206" spans="1:17" ht="14.4" x14ac:dyDescent="0.3">
      <c r="A1206" s="502">
        <v>2540282</v>
      </c>
      <c r="B1206" s="503" t="s">
        <v>2077</v>
      </c>
      <c r="C1206" s="514">
        <v>0</v>
      </c>
      <c r="D1206" s="514">
        <v>0</v>
      </c>
      <c r="E1206" s="514">
        <v>0</v>
      </c>
      <c r="F1206" s="514">
        <v>0</v>
      </c>
      <c r="G1206" s="514">
        <v>0</v>
      </c>
      <c r="H1206" s="514">
        <v>0</v>
      </c>
      <c r="I1206" s="514">
        <v>0</v>
      </c>
      <c r="J1206" s="514">
        <v>0</v>
      </c>
      <c r="K1206" s="514">
        <v>0</v>
      </c>
      <c r="L1206" s="514">
        <v>0</v>
      </c>
      <c r="M1206" s="514">
        <v>0</v>
      </c>
      <c r="N1206" s="514">
        <v>0</v>
      </c>
      <c r="O1206" s="499"/>
      <c r="P1206" s="499"/>
      <c r="Q1206" s="499"/>
    </row>
    <row r="1207" spans="1:17" ht="14.4" x14ac:dyDescent="0.3">
      <c r="A1207" s="502">
        <v>2540310</v>
      </c>
      <c r="B1207" s="503" t="s">
        <v>2990</v>
      </c>
      <c r="C1207" s="514">
        <v>0</v>
      </c>
      <c r="D1207" s="514">
        <v>0</v>
      </c>
      <c r="E1207" s="514">
        <v>0</v>
      </c>
      <c r="F1207" s="514">
        <v>0</v>
      </c>
      <c r="G1207" s="514">
        <v>0</v>
      </c>
      <c r="H1207" s="514">
        <v>0</v>
      </c>
      <c r="I1207" s="514">
        <v>0</v>
      </c>
      <c r="J1207" s="514">
        <v>0</v>
      </c>
      <c r="K1207" s="514">
        <v>0</v>
      </c>
      <c r="L1207" s="514">
        <v>0</v>
      </c>
      <c r="M1207" s="514">
        <v>0</v>
      </c>
      <c r="N1207" s="514">
        <v>0</v>
      </c>
      <c r="O1207" s="499"/>
      <c r="P1207" s="499"/>
      <c r="Q1207" s="499"/>
    </row>
    <row r="1208" spans="1:17" ht="14.4" x14ac:dyDescent="0.3">
      <c r="A1208" s="502">
        <v>2540320</v>
      </c>
      <c r="B1208" s="503" t="s">
        <v>2991</v>
      </c>
      <c r="C1208" s="514">
        <v>34121</v>
      </c>
      <c r="D1208" s="514">
        <v>34121</v>
      </c>
      <c r="E1208" s="514">
        <v>34121</v>
      </c>
      <c r="F1208" s="514">
        <v>34116</v>
      </c>
      <c r="G1208" s="514">
        <v>34116</v>
      </c>
      <c r="H1208" s="514">
        <v>34116</v>
      </c>
      <c r="I1208" s="514">
        <v>34110</v>
      </c>
      <c r="J1208" s="514">
        <v>34110</v>
      </c>
      <c r="K1208" s="514">
        <v>34110</v>
      </c>
      <c r="L1208" s="514">
        <v>34105</v>
      </c>
      <c r="M1208" s="514">
        <v>34105</v>
      </c>
      <c r="N1208" s="514">
        <v>34105</v>
      </c>
      <c r="O1208" s="499"/>
      <c r="P1208" s="499"/>
      <c r="Q1208" s="499"/>
    </row>
    <row r="1209" spans="1:17" ht="14.4" x14ac:dyDescent="0.3">
      <c r="A1209" s="502">
        <v>2540330</v>
      </c>
      <c r="B1209" s="503" t="s">
        <v>2992</v>
      </c>
      <c r="C1209" s="514">
        <v>0</v>
      </c>
      <c r="D1209" s="514">
        <v>0</v>
      </c>
      <c r="E1209" s="514">
        <v>0</v>
      </c>
      <c r="F1209" s="514">
        <v>0</v>
      </c>
      <c r="G1209" s="514">
        <v>0</v>
      </c>
      <c r="H1209" s="514">
        <v>0</v>
      </c>
      <c r="I1209" s="514">
        <v>0</v>
      </c>
      <c r="J1209" s="514">
        <v>0</v>
      </c>
      <c r="K1209" s="514">
        <v>0</v>
      </c>
      <c r="L1209" s="514">
        <v>0</v>
      </c>
      <c r="M1209" s="514">
        <v>0</v>
      </c>
      <c r="N1209" s="514">
        <v>0</v>
      </c>
      <c r="O1209" s="499"/>
      <c r="P1209" s="499"/>
      <c r="Q1209" s="499"/>
    </row>
    <row r="1210" spans="1:17" ht="14.4" x14ac:dyDescent="0.3">
      <c r="A1210" s="502">
        <v>2540331</v>
      </c>
      <c r="B1210" s="503" t="s">
        <v>2993</v>
      </c>
      <c r="C1210" s="514">
        <v>0</v>
      </c>
      <c r="D1210" s="514">
        <v>0</v>
      </c>
      <c r="E1210" s="514">
        <v>0</v>
      </c>
      <c r="F1210" s="514">
        <v>0</v>
      </c>
      <c r="G1210" s="514">
        <v>0</v>
      </c>
      <c r="H1210" s="514">
        <v>0</v>
      </c>
      <c r="I1210" s="514">
        <v>0</v>
      </c>
      <c r="J1210" s="514">
        <v>0</v>
      </c>
      <c r="K1210" s="514">
        <v>0</v>
      </c>
      <c r="L1210" s="514">
        <v>0</v>
      </c>
      <c r="M1210" s="514">
        <v>0</v>
      </c>
      <c r="N1210" s="514">
        <v>0</v>
      </c>
      <c r="O1210" s="499"/>
      <c r="P1210" s="499"/>
      <c r="Q1210" s="499"/>
    </row>
    <row r="1211" spans="1:17" ht="14.4" x14ac:dyDescent="0.3">
      <c r="A1211" s="502">
        <v>2540340</v>
      </c>
      <c r="B1211" s="503" t="s">
        <v>2994</v>
      </c>
      <c r="C1211" s="514">
        <v>0</v>
      </c>
      <c r="D1211" s="514">
        <v>0</v>
      </c>
      <c r="E1211" s="514">
        <v>0</v>
      </c>
      <c r="F1211" s="514">
        <v>0</v>
      </c>
      <c r="G1211" s="514">
        <v>0</v>
      </c>
      <c r="H1211" s="514">
        <v>0</v>
      </c>
      <c r="I1211" s="514">
        <v>0</v>
      </c>
      <c r="J1211" s="514">
        <v>0</v>
      </c>
      <c r="K1211" s="514">
        <v>0</v>
      </c>
      <c r="L1211" s="514">
        <v>0</v>
      </c>
      <c r="M1211" s="514">
        <v>0</v>
      </c>
      <c r="N1211" s="514">
        <v>0</v>
      </c>
      <c r="O1211" s="499"/>
      <c r="P1211" s="499"/>
      <c r="Q1211" s="499"/>
    </row>
    <row r="1212" spans="1:17" ht="14.4" x14ac:dyDescent="0.3">
      <c r="A1212" s="502">
        <v>2540350</v>
      </c>
      <c r="B1212" s="503" t="s">
        <v>2995</v>
      </c>
      <c r="C1212" s="514">
        <v>0</v>
      </c>
      <c r="D1212" s="514">
        <v>0</v>
      </c>
      <c r="E1212" s="514">
        <v>0</v>
      </c>
      <c r="F1212" s="514">
        <v>0</v>
      </c>
      <c r="G1212" s="514">
        <v>0</v>
      </c>
      <c r="H1212" s="514">
        <v>0</v>
      </c>
      <c r="I1212" s="514">
        <v>0</v>
      </c>
      <c r="J1212" s="514">
        <v>0</v>
      </c>
      <c r="K1212" s="514">
        <v>0</v>
      </c>
      <c r="L1212" s="514">
        <v>0</v>
      </c>
      <c r="M1212" s="514">
        <v>0</v>
      </c>
      <c r="N1212" s="514">
        <v>0</v>
      </c>
      <c r="O1212" s="499"/>
      <c r="P1212" s="499"/>
      <c r="Q1212" s="499"/>
    </row>
    <row r="1213" spans="1:17" ht="14.4" x14ac:dyDescent="0.3">
      <c r="A1213" s="502">
        <v>2540351</v>
      </c>
      <c r="B1213" s="503" t="s">
        <v>2996</v>
      </c>
      <c r="C1213" s="514">
        <v>0</v>
      </c>
      <c r="D1213" s="514">
        <v>0</v>
      </c>
      <c r="E1213" s="514">
        <v>0</v>
      </c>
      <c r="F1213" s="514">
        <v>0</v>
      </c>
      <c r="G1213" s="514">
        <v>0</v>
      </c>
      <c r="H1213" s="514">
        <v>0</v>
      </c>
      <c r="I1213" s="514">
        <v>0</v>
      </c>
      <c r="J1213" s="514">
        <v>0</v>
      </c>
      <c r="K1213" s="514">
        <v>0</v>
      </c>
      <c r="L1213" s="514">
        <v>0</v>
      </c>
      <c r="M1213" s="514">
        <v>0</v>
      </c>
      <c r="N1213" s="514">
        <v>0</v>
      </c>
      <c r="O1213" s="499"/>
      <c r="P1213" s="499"/>
      <c r="Q1213" s="499"/>
    </row>
    <row r="1214" spans="1:17" ht="14.4" x14ac:dyDescent="0.3">
      <c r="A1214" s="502">
        <v>2540360</v>
      </c>
      <c r="B1214" s="503" t="s">
        <v>2997</v>
      </c>
      <c r="C1214" s="514">
        <v>0</v>
      </c>
      <c r="D1214" s="514">
        <v>0</v>
      </c>
      <c r="E1214" s="514">
        <v>0</v>
      </c>
      <c r="F1214" s="514">
        <v>0</v>
      </c>
      <c r="G1214" s="514">
        <v>0</v>
      </c>
      <c r="H1214" s="514">
        <v>0</v>
      </c>
      <c r="I1214" s="514">
        <v>0</v>
      </c>
      <c r="J1214" s="514">
        <v>0</v>
      </c>
      <c r="K1214" s="514">
        <v>0</v>
      </c>
      <c r="L1214" s="514">
        <v>0</v>
      </c>
      <c r="M1214" s="514">
        <v>0</v>
      </c>
      <c r="N1214" s="514">
        <v>0</v>
      </c>
      <c r="O1214" s="499"/>
      <c r="P1214" s="499"/>
      <c r="Q1214" s="499"/>
    </row>
    <row r="1215" spans="1:17" ht="14.4" x14ac:dyDescent="0.3">
      <c r="A1215" s="502">
        <v>2540370</v>
      </c>
      <c r="B1215" s="503" t="s">
        <v>2998</v>
      </c>
      <c r="C1215" s="514">
        <v>0</v>
      </c>
      <c r="D1215" s="514">
        <v>0</v>
      </c>
      <c r="E1215" s="514">
        <v>0</v>
      </c>
      <c r="F1215" s="514">
        <v>0</v>
      </c>
      <c r="G1215" s="514">
        <v>0</v>
      </c>
      <c r="H1215" s="514">
        <v>0</v>
      </c>
      <c r="I1215" s="514">
        <v>0</v>
      </c>
      <c r="J1215" s="514">
        <v>0</v>
      </c>
      <c r="K1215" s="514">
        <v>0</v>
      </c>
      <c r="L1215" s="514">
        <v>0</v>
      </c>
      <c r="M1215" s="514">
        <v>0</v>
      </c>
      <c r="N1215" s="514">
        <v>0</v>
      </c>
      <c r="O1215" s="499"/>
      <c r="P1215" s="499"/>
      <c r="Q1215" s="499"/>
    </row>
    <row r="1216" spans="1:17" ht="14.4" x14ac:dyDescent="0.3">
      <c r="A1216" s="502">
        <v>2540371</v>
      </c>
      <c r="B1216" s="503" t="s">
        <v>2999</v>
      </c>
      <c r="C1216" s="514">
        <v>0</v>
      </c>
      <c r="D1216" s="514">
        <v>0</v>
      </c>
      <c r="E1216" s="514">
        <v>0</v>
      </c>
      <c r="F1216" s="514">
        <v>0</v>
      </c>
      <c r="G1216" s="514">
        <v>0</v>
      </c>
      <c r="H1216" s="514">
        <v>0</v>
      </c>
      <c r="I1216" s="514">
        <v>0</v>
      </c>
      <c r="J1216" s="514">
        <v>0</v>
      </c>
      <c r="K1216" s="514">
        <v>0</v>
      </c>
      <c r="L1216" s="514">
        <v>0</v>
      </c>
      <c r="M1216" s="514">
        <v>0</v>
      </c>
      <c r="N1216" s="514">
        <v>0</v>
      </c>
      <c r="O1216" s="499"/>
      <c r="P1216" s="499"/>
      <c r="Q1216" s="499"/>
    </row>
    <row r="1217" spans="1:17" ht="14.4" x14ac:dyDescent="0.3">
      <c r="A1217" s="502">
        <v>2540372</v>
      </c>
      <c r="B1217" s="503" t="s">
        <v>3000</v>
      </c>
      <c r="C1217" s="514">
        <v>0</v>
      </c>
      <c r="D1217" s="514">
        <v>0</v>
      </c>
      <c r="E1217" s="514">
        <v>0</v>
      </c>
      <c r="F1217" s="514">
        <v>0</v>
      </c>
      <c r="G1217" s="514">
        <v>0</v>
      </c>
      <c r="H1217" s="514">
        <v>0</v>
      </c>
      <c r="I1217" s="514">
        <v>0</v>
      </c>
      <c r="J1217" s="514">
        <v>0</v>
      </c>
      <c r="K1217" s="514">
        <v>0</v>
      </c>
      <c r="L1217" s="514">
        <v>0</v>
      </c>
      <c r="M1217" s="514">
        <v>0</v>
      </c>
      <c r="N1217" s="514">
        <v>0</v>
      </c>
      <c r="O1217" s="499"/>
      <c r="P1217" s="499"/>
      <c r="Q1217" s="499"/>
    </row>
    <row r="1218" spans="1:17" ht="14.4" x14ac:dyDescent="0.3">
      <c r="A1218" s="502">
        <v>2540373</v>
      </c>
      <c r="B1218" s="503" t="s">
        <v>3001</v>
      </c>
      <c r="C1218" s="514">
        <v>0</v>
      </c>
      <c r="D1218" s="514">
        <v>0</v>
      </c>
      <c r="E1218" s="514">
        <v>0</v>
      </c>
      <c r="F1218" s="514">
        <v>0</v>
      </c>
      <c r="G1218" s="514">
        <v>0</v>
      </c>
      <c r="H1218" s="514">
        <v>0</v>
      </c>
      <c r="I1218" s="514">
        <v>0</v>
      </c>
      <c r="J1218" s="514">
        <v>0</v>
      </c>
      <c r="K1218" s="514">
        <v>0</v>
      </c>
      <c r="L1218" s="514">
        <v>0</v>
      </c>
      <c r="M1218" s="514">
        <v>0</v>
      </c>
      <c r="N1218" s="514">
        <v>0</v>
      </c>
      <c r="O1218" s="499"/>
      <c r="P1218" s="499"/>
      <c r="Q1218" s="499"/>
    </row>
    <row r="1219" spans="1:17" ht="14.4" x14ac:dyDescent="0.3">
      <c r="A1219" s="502">
        <v>2540610</v>
      </c>
      <c r="B1219" s="503" t="s">
        <v>3002</v>
      </c>
      <c r="C1219" s="514">
        <v>437234018.36000001</v>
      </c>
      <c r="D1219" s="514">
        <v>438172077.87</v>
      </c>
      <c r="E1219" s="514">
        <v>439941907.58999997</v>
      </c>
      <c r="F1219" s="514">
        <v>443810983.10000002</v>
      </c>
      <c r="G1219" s="514">
        <v>440486476.67000002</v>
      </c>
      <c r="H1219" s="514">
        <v>437722292.47000003</v>
      </c>
      <c r="I1219" s="514">
        <v>434397852.83999997</v>
      </c>
      <c r="J1219" s="514">
        <v>431060861.64999998</v>
      </c>
      <c r="K1219" s="514">
        <v>415776497.14999998</v>
      </c>
      <c r="L1219" s="514">
        <v>412439543.97000003</v>
      </c>
      <c r="M1219" s="514">
        <v>409114870.57999998</v>
      </c>
      <c r="N1219" s="514">
        <v>412110808.25999999</v>
      </c>
      <c r="O1219" s="499"/>
      <c r="P1219" s="499"/>
      <c r="Q1219" s="499"/>
    </row>
    <row r="1220" spans="1:17" ht="14.4" x14ac:dyDescent="0.3">
      <c r="A1220" s="502">
        <v>2540612</v>
      </c>
      <c r="B1220" s="503" t="s">
        <v>3003</v>
      </c>
      <c r="C1220" s="514">
        <v>29267659.170000002</v>
      </c>
      <c r="D1220" s="514">
        <v>31025818.329999998</v>
      </c>
      <c r="E1220" s="514">
        <v>33117977.5</v>
      </c>
      <c r="F1220" s="514">
        <v>36175236.670000002</v>
      </c>
      <c r="G1220" s="514">
        <v>39676095.829999998</v>
      </c>
      <c r="H1220" s="514">
        <v>42577855</v>
      </c>
      <c r="I1220" s="514">
        <v>45289714.170000002</v>
      </c>
      <c r="J1220" s="514">
        <v>47888973.329999998</v>
      </c>
      <c r="K1220" s="514">
        <v>50064932.5</v>
      </c>
      <c r="L1220" s="514">
        <v>52156691.670000002</v>
      </c>
      <c r="M1220" s="514">
        <v>53533350.829999998</v>
      </c>
      <c r="N1220" s="514">
        <v>54479610</v>
      </c>
      <c r="O1220" s="499"/>
      <c r="P1220" s="499"/>
      <c r="Q1220" s="499"/>
    </row>
    <row r="1221" spans="1:17" ht="14.4" x14ac:dyDescent="0.3">
      <c r="A1221" s="502">
        <v>2540613</v>
      </c>
      <c r="B1221" s="503" t="s">
        <v>3004</v>
      </c>
      <c r="C1221" s="514">
        <v>0</v>
      </c>
      <c r="D1221" s="514">
        <v>0</v>
      </c>
      <c r="E1221" s="514">
        <v>0</v>
      </c>
      <c r="F1221" s="514">
        <v>0</v>
      </c>
      <c r="G1221" s="514">
        <v>0</v>
      </c>
      <c r="H1221" s="514">
        <v>0</v>
      </c>
      <c r="I1221" s="514">
        <v>0</v>
      </c>
      <c r="J1221" s="514">
        <v>0</v>
      </c>
      <c r="K1221" s="514">
        <v>0</v>
      </c>
      <c r="L1221" s="514">
        <v>0</v>
      </c>
      <c r="M1221" s="514">
        <v>0</v>
      </c>
      <c r="N1221" s="514">
        <v>0</v>
      </c>
      <c r="O1221" s="499"/>
      <c r="P1221" s="499"/>
      <c r="Q1221" s="499"/>
    </row>
    <row r="1222" spans="1:17" ht="14.4" x14ac:dyDescent="0.3">
      <c r="A1222" s="502">
        <v>2540800</v>
      </c>
      <c r="B1222" s="503" t="s">
        <v>3005</v>
      </c>
      <c r="C1222" s="514">
        <v>0</v>
      </c>
      <c r="D1222" s="514">
        <v>0</v>
      </c>
      <c r="E1222" s="514">
        <v>0</v>
      </c>
      <c r="F1222" s="514">
        <v>0</v>
      </c>
      <c r="G1222" s="514">
        <v>0</v>
      </c>
      <c r="H1222" s="514">
        <v>0</v>
      </c>
      <c r="I1222" s="514">
        <v>0</v>
      </c>
      <c r="J1222" s="514">
        <v>0</v>
      </c>
      <c r="K1222" s="514">
        <v>0</v>
      </c>
      <c r="L1222" s="514">
        <v>0</v>
      </c>
      <c r="M1222" s="514">
        <v>0</v>
      </c>
      <c r="N1222" s="514">
        <v>0</v>
      </c>
      <c r="O1222" s="499"/>
      <c r="P1222" s="499"/>
      <c r="Q1222" s="499"/>
    </row>
    <row r="1223" spans="1:17" ht="14.4" x14ac:dyDescent="0.3">
      <c r="A1223" s="502">
        <v>2550000</v>
      </c>
      <c r="B1223" s="503" t="s">
        <v>3006</v>
      </c>
      <c r="C1223" s="514">
        <v>233681101.19</v>
      </c>
      <c r="D1223" s="514">
        <v>248167699.72999999</v>
      </c>
      <c r="E1223" s="514">
        <v>247456598.21000001</v>
      </c>
      <c r="F1223" s="514">
        <v>272363131.69</v>
      </c>
      <c r="G1223" s="514">
        <v>271652030.23000002</v>
      </c>
      <c r="H1223" s="514">
        <v>270940928.70999998</v>
      </c>
      <c r="I1223" s="514">
        <v>270229827.19</v>
      </c>
      <c r="J1223" s="514">
        <v>269518725.73000002</v>
      </c>
      <c r="K1223" s="514">
        <v>268807624.20999998</v>
      </c>
      <c r="L1223" s="514">
        <v>268096522.69</v>
      </c>
      <c r="M1223" s="514">
        <v>267385421.22999999</v>
      </c>
      <c r="N1223" s="514">
        <v>266674319.71000001</v>
      </c>
      <c r="O1223" s="499"/>
      <c r="P1223" s="499"/>
      <c r="Q1223" s="499"/>
    </row>
    <row r="1224" spans="1:17" ht="14.4" x14ac:dyDescent="0.3">
      <c r="A1224" s="502">
        <v>2550005</v>
      </c>
      <c r="B1224" s="503" t="s">
        <v>3007</v>
      </c>
      <c r="C1224" s="514">
        <v>82.44</v>
      </c>
      <c r="D1224" s="514">
        <v>1010.35</v>
      </c>
      <c r="E1224" s="514">
        <v>1938.27</v>
      </c>
      <c r="F1224" s="514">
        <v>2866.19</v>
      </c>
      <c r="G1224" s="514">
        <v>3794.1</v>
      </c>
      <c r="H1224" s="514">
        <v>4722.0200000000004</v>
      </c>
      <c r="I1224" s="514">
        <v>5649.94</v>
      </c>
      <c r="J1224" s="514">
        <v>6577.85</v>
      </c>
      <c r="K1224" s="514">
        <v>7505.77</v>
      </c>
      <c r="L1224" s="514">
        <v>8433.69</v>
      </c>
      <c r="M1224" s="514">
        <v>9361.6</v>
      </c>
      <c r="N1224" s="514">
        <v>10289.52</v>
      </c>
      <c r="O1224" s="499"/>
      <c r="P1224" s="499"/>
      <c r="Q1224" s="499"/>
    </row>
    <row r="1225" spans="1:17" ht="14.4" x14ac:dyDescent="0.3">
      <c r="A1225" s="502">
        <v>2560000</v>
      </c>
      <c r="B1225" s="503" t="s">
        <v>3008</v>
      </c>
      <c r="C1225" s="514">
        <v>0</v>
      </c>
      <c r="D1225" s="514">
        <v>0</v>
      </c>
      <c r="E1225" s="514">
        <v>0</v>
      </c>
      <c r="F1225" s="514">
        <v>0</v>
      </c>
      <c r="G1225" s="514">
        <v>0</v>
      </c>
      <c r="H1225" s="514">
        <v>0</v>
      </c>
      <c r="I1225" s="514">
        <v>0</v>
      </c>
      <c r="J1225" s="514">
        <v>0</v>
      </c>
      <c r="K1225" s="514">
        <v>0</v>
      </c>
      <c r="L1225" s="514">
        <v>0</v>
      </c>
      <c r="M1225" s="514">
        <v>0</v>
      </c>
      <c r="N1225" s="514">
        <v>0</v>
      </c>
      <c r="O1225" s="499"/>
      <c r="P1225" s="499"/>
      <c r="Q1225" s="499"/>
    </row>
    <row r="1226" spans="1:17" ht="14.4" x14ac:dyDescent="0.3">
      <c r="A1226" s="502">
        <v>2560080</v>
      </c>
      <c r="B1226" s="503" t="s">
        <v>2077</v>
      </c>
      <c r="C1226" s="514">
        <v>0</v>
      </c>
      <c r="D1226" s="514">
        <v>0</v>
      </c>
      <c r="E1226" s="514">
        <v>0</v>
      </c>
      <c r="F1226" s="514">
        <v>0</v>
      </c>
      <c r="G1226" s="514">
        <v>0</v>
      </c>
      <c r="H1226" s="514">
        <v>0</v>
      </c>
      <c r="I1226" s="514">
        <v>0</v>
      </c>
      <c r="J1226" s="514">
        <v>0</v>
      </c>
      <c r="K1226" s="514">
        <v>0</v>
      </c>
      <c r="L1226" s="514">
        <v>0</v>
      </c>
      <c r="M1226" s="514">
        <v>0</v>
      </c>
      <c r="N1226" s="514">
        <v>0</v>
      </c>
      <c r="O1226" s="499"/>
      <c r="P1226" s="499"/>
      <c r="Q1226" s="499"/>
    </row>
    <row r="1227" spans="1:17" ht="14.4" x14ac:dyDescent="0.3">
      <c r="A1227" s="502">
        <v>2560081</v>
      </c>
      <c r="B1227" s="503" t="s">
        <v>2077</v>
      </c>
      <c r="C1227" s="514">
        <v>0</v>
      </c>
      <c r="D1227" s="514">
        <v>0</v>
      </c>
      <c r="E1227" s="514">
        <v>0</v>
      </c>
      <c r="F1227" s="514">
        <v>0</v>
      </c>
      <c r="G1227" s="514">
        <v>0</v>
      </c>
      <c r="H1227" s="514">
        <v>0</v>
      </c>
      <c r="I1227" s="514">
        <v>0</v>
      </c>
      <c r="J1227" s="514">
        <v>0</v>
      </c>
      <c r="K1227" s="514">
        <v>0</v>
      </c>
      <c r="L1227" s="514">
        <v>0</v>
      </c>
      <c r="M1227" s="514">
        <v>0</v>
      </c>
      <c r="N1227" s="514">
        <v>0</v>
      </c>
      <c r="O1227" s="499"/>
      <c r="P1227" s="499"/>
      <c r="Q1227" s="499"/>
    </row>
    <row r="1228" spans="1:17" ht="14.4" x14ac:dyDescent="0.3">
      <c r="A1228" s="502">
        <v>2560082</v>
      </c>
      <c r="B1228" s="503" t="s">
        <v>2077</v>
      </c>
      <c r="C1228" s="514">
        <v>0</v>
      </c>
      <c r="D1228" s="514">
        <v>0</v>
      </c>
      <c r="E1228" s="514">
        <v>0</v>
      </c>
      <c r="F1228" s="514">
        <v>0</v>
      </c>
      <c r="G1228" s="514">
        <v>0</v>
      </c>
      <c r="H1228" s="514">
        <v>0</v>
      </c>
      <c r="I1228" s="514">
        <v>0</v>
      </c>
      <c r="J1228" s="514">
        <v>0</v>
      </c>
      <c r="K1228" s="514">
        <v>0</v>
      </c>
      <c r="L1228" s="514">
        <v>0</v>
      </c>
      <c r="M1228" s="514">
        <v>0</v>
      </c>
      <c r="N1228" s="514">
        <v>0</v>
      </c>
      <c r="O1228" s="499"/>
      <c r="P1228" s="499"/>
      <c r="Q1228" s="499"/>
    </row>
    <row r="1229" spans="1:17" ht="14.4" x14ac:dyDescent="0.3">
      <c r="A1229" s="502">
        <v>2570000</v>
      </c>
      <c r="B1229" s="503" t="s">
        <v>3009</v>
      </c>
      <c r="C1229" s="514">
        <v>0</v>
      </c>
      <c r="D1229" s="514">
        <v>0</v>
      </c>
      <c r="E1229" s="514">
        <v>0</v>
      </c>
      <c r="F1229" s="514">
        <v>0</v>
      </c>
      <c r="G1229" s="514">
        <v>0</v>
      </c>
      <c r="H1229" s="514">
        <v>0</v>
      </c>
      <c r="I1229" s="514">
        <v>0</v>
      </c>
      <c r="J1229" s="514">
        <v>0</v>
      </c>
      <c r="K1229" s="514">
        <v>0</v>
      </c>
      <c r="L1229" s="514">
        <v>0</v>
      </c>
      <c r="M1229" s="514">
        <v>0</v>
      </c>
      <c r="N1229" s="514">
        <v>0</v>
      </c>
      <c r="O1229" s="499"/>
      <c r="P1229" s="499"/>
      <c r="Q1229" s="499"/>
    </row>
    <row r="1230" spans="1:17" ht="14.4" x14ac:dyDescent="0.3">
      <c r="A1230" s="502">
        <v>2810300</v>
      </c>
      <c r="B1230" s="503" t="s">
        <v>1756</v>
      </c>
      <c r="C1230" s="514">
        <v>44389835.289999999</v>
      </c>
      <c r="D1230" s="514">
        <v>44249005.07</v>
      </c>
      <c r="E1230" s="514">
        <v>44108174.859999999</v>
      </c>
      <c r="F1230" s="514">
        <v>43967344.659999996</v>
      </c>
      <c r="G1230" s="514">
        <v>43826514.450000003</v>
      </c>
      <c r="H1230" s="514">
        <v>43685684.240000002</v>
      </c>
      <c r="I1230" s="514">
        <v>43544854.039999999</v>
      </c>
      <c r="J1230" s="514">
        <v>43404023.829999998</v>
      </c>
      <c r="K1230" s="514">
        <v>43263193.609999999</v>
      </c>
      <c r="L1230" s="514">
        <v>43122363.409999996</v>
      </c>
      <c r="M1230" s="514">
        <v>42981533.200000003</v>
      </c>
      <c r="N1230" s="514">
        <v>42840703</v>
      </c>
      <c r="O1230" s="499"/>
      <c r="P1230" s="499"/>
      <c r="Q1230" s="499"/>
    </row>
    <row r="1231" spans="1:17" ht="14.4" x14ac:dyDescent="0.3">
      <c r="A1231" s="502">
        <v>2810400</v>
      </c>
      <c r="B1231" s="503" t="s">
        <v>1768</v>
      </c>
      <c r="C1231" s="514">
        <v>7086160.8700000001</v>
      </c>
      <c r="D1231" s="514">
        <v>7043656.0800000001</v>
      </c>
      <c r="E1231" s="514">
        <v>7001151.2800000003</v>
      </c>
      <c r="F1231" s="514">
        <v>6958646.4900000002</v>
      </c>
      <c r="G1231" s="514">
        <v>6916141.6900000004</v>
      </c>
      <c r="H1231" s="514">
        <v>6873636.8899999997</v>
      </c>
      <c r="I1231" s="514">
        <v>6831132.0999999996</v>
      </c>
      <c r="J1231" s="514">
        <v>6788627.2999999998</v>
      </c>
      <c r="K1231" s="514">
        <v>6746122.5099999998</v>
      </c>
      <c r="L1231" s="514">
        <v>6703617.71</v>
      </c>
      <c r="M1231" s="514">
        <v>6661112.9199999999</v>
      </c>
      <c r="N1231" s="514">
        <v>6618608.1200000001</v>
      </c>
      <c r="O1231" s="499"/>
      <c r="P1231" s="499"/>
      <c r="Q1231" s="499"/>
    </row>
    <row r="1232" spans="1:17" ht="14.4" x14ac:dyDescent="0.3">
      <c r="A1232" s="502">
        <v>2820300</v>
      </c>
      <c r="B1232" s="503" t="s">
        <v>3010</v>
      </c>
      <c r="C1232" s="514">
        <v>1487281663.8599999</v>
      </c>
      <c r="D1232" s="514">
        <v>1491404839.5799999</v>
      </c>
      <c r="E1232" s="514">
        <v>1495528015.27</v>
      </c>
      <c r="F1232" s="514">
        <v>1499651190.99</v>
      </c>
      <c r="G1232" s="514">
        <v>1503774366.72</v>
      </c>
      <c r="H1232" s="514">
        <v>1507897542.4300001</v>
      </c>
      <c r="I1232" s="514">
        <v>1512020718.1300001</v>
      </c>
      <c r="J1232" s="514">
        <v>1516143893.8599999</v>
      </c>
      <c r="K1232" s="514">
        <v>1520267069.5799999</v>
      </c>
      <c r="L1232" s="514">
        <v>1524390245.29</v>
      </c>
      <c r="M1232" s="514">
        <v>1528513420.99</v>
      </c>
      <c r="N1232" s="514">
        <v>1532636603.72</v>
      </c>
      <c r="O1232" s="499"/>
      <c r="P1232" s="499"/>
      <c r="Q1232" s="499"/>
    </row>
    <row r="1233" spans="1:17" ht="14.4" x14ac:dyDescent="0.3">
      <c r="A1233" s="502">
        <v>2820305</v>
      </c>
      <c r="B1233" s="503" t="s">
        <v>3011</v>
      </c>
      <c r="C1233" s="514">
        <v>0</v>
      </c>
      <c r="D1233" s="514">
        <v>0</v>
      </c>
      <c r="E1233" s="514">
        <v>0</v>
      </c>
      <c r="F1233" s="514">
        <v>0</v>
      </c>
      <c r="G1233" s="514">
        <v>0</v>
      </c>
      <c r="H1233" s="514">
        <v>0</v>
      </c>
      <c r="I1233" s="514">
        <v>0</v>
      </c>
      <c r="J1233" s="514">
        <v>0</v>
      </c>
      <c r="K1233" s="514">
        <v>0</v>
      </c>
      <c r="L1233" s="514">
        <v>0</v>
      </c>
      <c r="M1233" s="514">
        <v>0</v>
      </c>
      <c r="N1233" s="514">
        <v>0</v>
      </c>
      <c r="O1233" s="499"/>
      <c r="P1233" s="499"/>
      <c r="Q1233" s="499"/>
    </row>
    <row r="1234" spans="1:17" ht="14.4" x14ac:dyDescent="0.3">
      <c r="A1234" s="502">
        <v>2820400</v>
      </c>
      <c r="B1234" s="503" t="s">
        <v>3012</v>
      </c>
      <c r="C1234" s="514">
        <v>294637538.39999998</v>
      </c>
      <c r="D1234" s="514">
        <v>296579888.91000003</v>
      </c>
      <c r="E1234" s="514">
        <v>298522239.41000003</v>
      </c>
      <c r="F1234" s="514">
        <v>300464589.94</v>
      </c>
      <c r="G1234" s="514">
        <v>302406940.44</v>
      </c>
      <c r="H1234" s="514">
        <v>304349290.94999999</v>
      </c>
      <c r="I1234" s="514">
        <v>306291641.44999999</v>
      </c>
      <c r="J1234" s="514">
        <v>308233991.95999998</v>
      </c>
      <c r="K1234" s="514">
        <v>310176342.45999998</v>
      </c>
      <c r="L1234" s="514">
        <v>312118692.97000003</v>
      </c>
      <c r="M1234" s="514">
        <v>314061043.47000003</v>
      </c>
      <c r="N1234" s="514">
        <v>316003393.99000001</v>
      </c>
      <c r="O1234" s="499"/>
      <c r="P1234" s="499"/>
      <c r="Q1234" s="499"/>
    </row>
    <row r="1235" spans="1:17" ht="14.4" x14ac:dyDescent="0.3">
      <c r="A1235" s="502">
        <v>2820405</v>
      </c>
      <c r="B1235" s="503" t="s">
        <v>3013</v>
      </c>
      <c r="C1235" s="514">
        <v>0</v>
      </c>
      <c r="D1235" s="514">
        <v>0</v>
      </c>
      <c r="E1235" s="514">
        <v>0</v>
      </c>
      <c r="F1235" s="514">
        <v>0</v>
      </c>
      <c r="G1235" s="514">
        <v>0</v>
      </c>
      <c r="H1235" s="514">
        <v>0</v>
      </c>
      <c r="I1235" s="514">
        <v>0</v>
      </c>
      <c r="J1235" s="514">
        <v>0</v>
      </c>
      <c r="K1235" s="514">
        <v>0</v>
      </c>
      <c r="L1235" s="514">
        <v>0</v>
      </c>
      <c r="M1235" s="514">
        <v>0</v>
      </c>
      <c r="N1235" s="514">
        <v>0</v>
      </c>
      <c r="O1235" s="499"/>
      <c r="P1235" s="499"/>
      <c r="Q1235" s="499"/>
    </row>
    <row r="1236" spans="1:17" ht="14.4" x14ac:dyDescent="0.3">
      <c r="A1236" s="502">
        <v>2820610</v>
      </c>
      <c r="B1236" s="503" t="s">
        <v>3014</v>
      </c>
      <c r="C1236" s="514">
        <v>189570755.66999999</v>
      </c>
      <c r="D1236" s="514">
        <v>184815414.87</v>
      </c>
      <c r="E1236" s="514">
        <v>185772070.71000001</v>
      </c>
      <c r="F1236" s="514">
        <v>179673967.13999999</v>
      </c>
      <c r="G1236" s="514">
        <v>176948159.69999999</v>
      </c>
      <c r="H1236" s="514">
        <v>174879247.03999999</v>
      </c>
      <c r="I1236" s="514">
        <v>172505775.88999999</v>
      </c>
      <c r="J1236" s="514">
        <v>170085371.52000001</v>
      </c>
      <c r="K1236" s="514">
        <v>158710491.71000001</v>
      </c>
      <c r="L1236" s="514">
        <v>156218999.77000001</v>
      </c>
      <c r="M1236" s="514">
        <v>153701188.19</v>
      </c>
      <c r="N1236" s="514">
        <v>156008511.69</v>
      </c>
      <c r="O1236" s="499"/>
      <c r="P1236" s="499"/>
      <c r="Q1236" s="499"/>
    </row>
    <row r="1237" spans="1:17" ht="14.4" x14ac:dyDescent="0.3">
      <c r="A1237" s="502">
        <v>2830100</v>
      </c>
      <c r="B1237" s="503" t="s">
        <v>3015</v>
      </c>
      <c r="C1237" s="514">
        <v>0</v>
      </c>
      <c r="D1237" s="514">
        <v>0</v>
      </c>
      <c r="E1237" s="514">
        <v>0</v>
      </c>
      <c r="F1237" s="514">
        <v>0</v>
      </c>
      <c r="G1237" s="514">
        <v>0</v>
      </c>
      <c r="H1237" s="514">
        <v>0</v>
      </c>
      <c r="I1237" s="514">
        <v>0</v>
      </c>
      <c r="J1237" s="514">
        <v>0</v>
      </c>
      <c r="K1237" s="514">
        <v>0</v>
      </c>
      <c r="L1237" s="514">
        <v>0</v>
      </c>
      <c r="M1237" s="514">
        <v>0</v>
      </c>
      <c r="N1237" s="514">
        <v>0</v>
      </c>
      <c r="O1237" s="499"/>
      <c r="P1237" s="499"/>
      <c r="Q1237" s="499"/>
    </row>
    <row r="1238" spans="1:17" ht="14.4" x14ac:dyDescent="0.3">
      <c r="A1238" s="502">
        <v>2830300</v>
      </c>
      <c r="B1238" s="503" t="s">
        <v>3016</v>
      </c>
      <c r="C1238" s="514">
        <v>25333542.57</v>
      </c>
      <c r="D1238" s="514">
        <v>26498487.18</v>
      </c>
      <c r="E1238" s="514">
        <v>37285417.409999996</v>
      </c>
      <c r="F1238" s="514">
        <v>38149216.630000003</v>
      </c>
      <c r="G1238" s="514">
        <v>38155439.979999997</v>
      </c>
      <c r="H1238" s="514">
        <v>36788065.350000001</v>
      </c>
      <c r="I1238" s="514">
        <v>36118761.329999998</v>
      </c>
      <c r="J1238" s="514">
        <v>35737132.350000001</v>
      </c>
      <c r="K1238" s="514">
        <v>26006574.23</v>
      </c>
      <c r="L1238" s="514">
        <v>26130107.5</v>
      </c>
      <c r="M1238" s="514">
        <v>26852751.309999999</v>
      </c>
      <c r="N1238" s="514">
        <v>31782471.859999999</v>
      </c>
      <c r="O1238" s="499"/>
      <c r="P1238" s="499"/>
      <c r="Q1238" s="499"/>
    </row>
    <row r="1239" spans="1:17" ht="14.4" x14ac:dyDescent="0.3">
      <c r="A1239" s="502">
        <v>2830305</v>
      </c>
      <c r="B1239" s="503" t="s">
        <v>3017</v>
      </c>
      <c r="C1239" s="514">
        <v>0</v>
      </c>
      <c r="D1239" s="514">
        <v>0</v>
      </c>
      <c r="E1239" s="514">
        <v>0</v>
      </c>
      <c r="F1239" s="514">
        <v>0</v>
      </c>
      <c r="G1239" s="514">
        <v>0</v>
      </c>
      <c r="H1239" s="514">
        <v>0</v>
      </c>
      <c r="I1239" s="514">
        <v>0</v>
      </c>
      <c r="J1239" s="514">
        <v>0</v>
      </c>
      <c r="K1239" s="514">
        <v>0</v>
      </c>
      <c r="L1239" s="514">
        <v>0</v>
      </c>
      <c r="M1239" s="514">
        <v>0</v>
      </c>
      <c r="N1239" s="514">
        <v>0</v>
      </c>
      <c r="O1239" s="499"/>
      <c r="P1239" s="499"/>
      <c r="Q1239" s="499"/>
    </row>
    <row r="1240" spans="1:17" ht="14.4" x14ac:dyDescent="0.3">
      <c r="A1240" s="502">
        <v>2830310</v>
      </c>
      <c r="B1240" s="503" t="s">
        <v>3018</v>
      </c>
      <c r="C1240" s="514">
        <v>0</v>
      </c>
      <c r="D1240" s="514">
        <v>0</v>
      </c>
      <c r="E1240" s="514">
        <v>0</v>
      </c>
      <c r="F1240" s="514">
        <v>0</v>
      </c>
      <c r="G1240" s="514">
        <v>0</v>
      </c>
      <c r="H1240" s="515">
        <v>0</v>
      </c>
      <c r="I1240" s="514">
        <v>0</v>
      </c>
      <c r="J1240" s="514">
        <v>0</v>
      </c>
      <c r="K1240" s="514">
        <v>0</v>
      </c>
      <c r="L1240" s="514">
        <v>0</v>
      </c>
      <c r="M1240" s="514">
        <v>0</v>
      </c>
      <c r="N1240" s="514">
        <v>0</v>
      </c>
      <c r="O1240" s="499"/>
      <c r="P1240" s="499"/>
      <c r="Q1240" s="499"/>
    </row>
    <row r="1241" spans="1:17" ht="14.4" x14ac:dyDescent="0.3">
      <c r="A1241" s="502">
        <v>2830320</v>
      </c>
      <c r="B1241" s="503" t="s">
        <v>3019</v>
      </c>
      <c r="C1241" s="514">
        <v>0</v>
      </c>
      <c r="D1241" s="514">
        <v>0</v>
      </c>
      <c r="E1241" s="514">
        <v>0</v>
      </c>
      <c r="F1241" s="514">
        <v>0</v>
      </c>
      <c r="G1241" s="514">
        <v>0</v>
      </c>
      <c r="H1241" s="514">
        <v>0</v>
      </c>
      <c r="I1241" s="514">
        <v>0</v>
      </c>
      <c r="J1241" s="514">
        <v>0</v>
      </c>
      <c r="K1241" s="514">
        <v>0</v>
      </c>
      <c r="L1241" s="514">
        <v>0</v>
      </c>
      <c r="M1241" s="514">
        <v>0</v>
      </c>
      <c r="N1241" s="514">
        <v>0</v>
      </c>
      <c r="O1241" s="499"/>
      <c r="P1241" s="499"/>
      <c r="Q1241" s="499"/>
    </row>
    <row r="1242" spans="1:17" ht="14.4" x14ac:dyDescent="0.3">
      <c r="A1242" s="502">
        <v>2830330</v>
      </c>
      <c r="B1242" s="503" t="s">
        <v>3020</v>
      </c>
      <c r="C1242" s="514">
        <v>79281055.840000004</v>
      </c>
      <c r="D1242" s="514">
        <v>79281055.840000004</v>
      </c>
      <c r="E1242" s="514">
        <v>79281055.840000004</v>
      </c>
      <c r="F1242" s="514">
        <v>79281055.840000004</v>
      </c>
      <c r="G1242" s="514">
        <v>79281055.840000004</v>
      </c>
      <c r="H1242" s="514">
        <v>79281055.840000004</v>
      </c>
      <c r="I1242" s="514">
        <v>79281055.840000004</v>
      </c>
      <c r="J1242" s="514">
        <v>79281055.840000004</v>
      </c>
      <c r="K1242" s="514">
        <v>79281055.840000004</v>
      </c>
      <c r="L1242" s="514">
        <v>79281055.840000004</v>
      </c>
      <c r="M1242" s="514">
        <v>79281055.840000004</v>
      </c>
      <c r="N1242" s="514">
        <v>79281055.840000004</v>
      </c>
      <c r="O1242" s="499"/>
      <c r="P1242" s="499"/>
      <c r="Q1242" s="499"/>
    </row>
    <row r="1243" spans="1:17" ht="14.4" x14ac:dyDescent="0.3">
      <c r="A1243" s="502">
        <v>2830331</v>
      </c>
      <c r="B1243" s="503" t="s">
        <v>3021</v>
      </c>
      <c r="C1243" s="514">
        <v>0</v>
      </c>
      <c r="D1243" s="514">
        <v>0</v>
      </c>
      <c r="E1243" s="514">
        <v>0</v>
      </c>
      <c r="F1243" s="514">
        <v>0</v>
      </c>
      <c r="G1243" s="514">
        <v>0</v>
      </c>
      <c r="H1243" s="514">
        <v>0</v>
      </c>
      <c r="I1243" s="514">
        <v>0</v>
      </c>
      <c r="J1243" s="514">
        <v>0</v>
      </c>
      <c r="K1243" s="514">
        <v>0</v>
      </c>
      <c r="L1243" s="514">
        <v>0</v>
      </c>
      <c r="M1243" s="514">
        <v>0</v>
      </c>
      <c r="N1243" s="514">
        <v>0</v>
      </c>
      <c r="O1243" s="499"/>
      <c r="P1243" s="499"/>
      <c r="Q1243" s="499"/>
    </row>
    <row r="1244" spans="1:17" ht="14.4" x14ac:dyDescent="0.3">
      <c r="A1244" s="502">
        <v>2830340</v>
      </c>
      <c r="B1244" s="503" t="s">
        <v>3022</v>
      </c>
      <c r="C1244" s="514">
        <v>1926508.04</v>
      </c>
      <c r="D1244" s="514">
        <v>1926508.04</v>
      </c>
      <c r="E1244" s="514">
        <v>1926508.04</v>
      </c>
      <c r="F1244" s="514">
        <v>1926508.04</v>
      </c>
      <c r="G1244" s="514">
        <v>1926508.04</v>
      </c>
      <c r="H1244" s="514">
        <v>1926508.04</v>
      </c>
      <c r="I1244" s="514">
        <v>1926508.04</v>
      </c>
      <c r="J1244" s="514">
        <v>1926508.04</v>
      </c>
      <c r="K1244" s="514">
        <v>1926508.04</v>
      </c>
      <c r="L1244" s="514">
        <v>1926508.04</v>
      </c>
      <c r="M1244" s="514">
        <v>1926508.04</v>
      </c>
      <c r="N1244" s="514">
        <v>1926508.04</v>
      </c>
      <c r="O1244" s="499"/>
      <c r="P1244" s="499"/>
      <c r="Q1244" s="499"/>
    </row>
    <row r="1245" spans="1:17" ht="14.4" x14ac:dyDescent="0.3">
      <c r="A1245" s="502">
        <v>2830400</v>
      </c>
      <c r="B1245" s="503" t="s">
        <v>3023</v>
      </c>
      <c r="C1245" s="514">
        <v>4823185.7699999996</v>
      </c>
      <c r="D1245" s="514">
        <v>5150780.1100000003</v>
      </c>
      <c r="E1245" s="514">
        <v>7088468.1399999997</v>
      </c>
      <c r="F1245" s="514">
        <v>7332610.7699999996</v>
      </c>
      <c r="G1245" s="514">
        <v>7336490.9900000002</v>
      </c>
      <c r="H1245" s="514">
        <v>6843748.0300000003</v>
      </c>
      <c r="I1245" s="514">
        <v>6660393.5099999998</v>
      </c>
      <c r="J1245" s="514">
        <v>6559364.3700000001</v>
      </c>
      <c r="K1245" s="514">
        <v>6339267.6399999997</v>
      </c>
      <c r="L1245" s="514">
        <v>6378235.3099999996</v>
      </c>
      <c r="M1245" s="514">
        <v>6580704.46</v>
      </c>
      <c r="N1245" s="514">
        <v>6641401.04</v>
      </c>
      <c r="O1245" s="499"/>
      <c r="P1245" s="499"/>
      <c r="Q1245" s="499"/>
    </row>
    <row r="1246" spans="1:17" ht="14.4" x14ac:dyDescent="0.3">
      <c r="A1246" s="502">
        <v>2830405</v>
      </c>
      <c r="B1246" s="503" t="s">
        <v>3024</v>
      </c>
      <c r="C1246" s="514">
        <v>0</v>
      </c>
      <c r="D1246" s="514">
        <v>0</v>
      </c>
      <c r="E1246" s="514">
        <v>0</v>
      </c>
      <c r="F1246" s="514">
        <v>0</v>
      </c>
      <c r="G1246" s="514">
        <v>0</v>
      </c>
      <c r="H1246" s="514">
        <v>0</v>
      </c>
      <c r="I1246" s="514">
        <v>0</v>
      </c>
      <c r="J1246" s="514">
        <v>0</v>
      </c>
      <c r="K1246" s="514">
        <v>0</v>
      </c>
      <c r="L1246" s="514">
        <v>0</v>
      </c>
      <c r="M1246" s="514">
        <v>0</v>
      </c>
      <c r="N1246" s="514">
        <v>0</v>
      </c>
      <c r="O1246" s="499"/>
      <c r="P1246" s="499"/>
      <c r="Q1246" s="499"/>
    </row>
    <row r="1247" spans="1:17" ht="14.4" x14ac:dyDescent="0.3">
      <c r="A1247" s="502">
        <v>2830410</v>
      </c>
      <c r="B1247" s="503" t="s">
        <v>3025</v>
      </c>
      <c r="C1247" s="514">
        <v>0</v>
      </c>
      <c r="D1247" s="514">
        <v>0</v>
      </c>
      <c r="E1247" s="514">
        <v>0</v>
      </c>
      <c r="F1247" s="514">
        <v>0</v>
      </c>
      <c r="G1247" s="514">
        <v>0</v>
      </c>
      <c r="H1247" s="514">
        <v>0</v>
      </c>
      <c r="I1247" s="514">
        <v>0</v>
      </c>
      <c r="J1247" s="514">
        <v>0</v>
      </c>
      <c r="K1247" s="514">
        <v>0</v>
      </c>
      <c r="L1247" s="514">
        <v>0</v>
      </c>
      <c r="M1247" s="514">
        <v>0</v>
      </c>
      <c r="N1247" s="514">
        <v>0</v>
      </c>
      <c r="O1247" s="499"/>
      <c r="P1247" s="499"/>
      <c r="Q1247" s="499"/>
    </row>
    <row r="1248" spans="1:17" ht="14.4" x14ac:dyDescent="0.3">
      <c r="A1248" s="502">
        <v>2830420</v>
      </c>
      <c r="B1248" s="503" t="s">
        <v>3026</v>
      </c>
      <c r="C1248" s="514">
        <v>0</v>
      </c>
      <c r="D1248" s="514">
        <v>0</v>
      </c>
      <c r="E1248" s="514">
        <v>0</v>
      </c>
      <c r="F1248" s="514">
        <v>0</v>
      </c>
      <c r="G1248" s="514">
        <v>0</v>
      </c>
      <c r="H1248" s="514">
        <v>0</v>
      </c>
      <c r="I1248" s="514">
        <v>0</v>
      </c>
      <c r="J1248" s="514">
        <v>0</v>
      </c>
      <c r="K1248" s="514">
        <v>0</v>
      </c>
      <c r="L1248" s="514">
        <v>0</v>
      </c>
      <c r="M1248" s="514">
        <v>0</v>
      </c>
      <c r="N1248" s="514">
        <v>0</v>
      </c>
      <c r="O1248" s="499"/>
      <c r="P1248" s="499"/>
      <c r="Q1248" s="499"/>
    </row>
    <row r="1249" spans="1:17" ht="14.4" x14ac:dyDescent="0.3">
      <c r="A1249" s="502">
        <v>2830430</v>
      </c>
      <c r="B1249" s="503" t="s">
        <v>3027</v>
      </c>
      <c r="C1249" s="514">
        <v>13037008.5</v>
      </c>
      <c r="D1249" s="514">
        <v>13037008.5</v>
      </c>
      <c r="E1249" s="514">
        <v>13037008.5</v>
      </c>
      <c r="F1249" s="514">
        <v>13037008.5</v>
      </c>
      <c r="G1249" s="514">
        <v>13037008.5</v>
      </c>
      <c r="H1249" s="514">
        <v>13037008.5</v>
      </c>
      <c r="I1249" s="514">
        <v>13037008.5</v>
      </c>
      <c r="J1249" s="514">
        <v>13037008.5</v>
      </c>
      <c r="K1249" s="514">
        <v>13037008.5</v>
      </c>
      <c r="L1249" s="514">
        <v>13037008.5</v>
      </c>
      <c r="M1249" s="514">
        <v>13037008.5</v>
      </c>
      <c r="N1249" s="514">
        <v>13037008.5</v>
      </c>
      <c r="O1249" s="499"/>
      <c r="P1249" s="499"/>
      <c r="Q1249" s="499"/>
    </row>
    <row r="1250" spans="1:17" ht="14.4" x14ac:dyDescent="0.3">
      <c r="A1250" s="502">
        <v>2830431</v>
      </c>
      <c r="B1250" s="503" t="s">
        <v>3028</v>
      </c>
      <c r="C1250" s="514">
        <v>0</v>
      </c>
      <c r="D1250" s="514">
        <v>0</v>
      </c>
      <c r="E1250" s="514">
        <v>0</v>
      </c>
      <c r="F1250" s="514">
        <v>0</v>
      </c>
      <c r="G1250" s="514">
        <v>0</v>
      </c>
      <c r="H1250" s="514">
        <v>0</v>
      </c>
      <c r="I1250" s="514">
        <v>0</v>
      </c>
      <c r="J1250" s="514">
        <v>0</v>
      </c>
      <c r="K1250" s="514">
        <v>0</v>
      </c>
      <c r="L1250" s="514">
        <v>0</v>
      </c>
      <c r="M1250" s="514">
        <v>0</v>
      </c>
      <c r="N1250" s="514">
        <v>0</v>
      </c>
      <c r="O1250" s="499"/>
      <c r="P1250" s="499"/>
      <c r="Q1250" s="499"/>
    </row>
    <row r="1251" spans="1:17" ht="14.4" x14ac:dyDescent="0.3">
      <c r="A1251" s="502">
        <v>2830440</v>
      </c>
      <c r="B1251" s="503" t="s">
        <v>3029</v>
      </c>
      <c r="C1251" s="514">
        <v>0.2</v>
      </c>
      <c r="D1251" s="514">
        <v>0.2</v>
      </c>
      <c r="E1251" s="514">
        <v>0.2</v>
      </c>
      <c r="F1251" s="514">
        <v>0.2</v>
      </c>
      <c r="G1251" s="514">
        <v>0.2</v>
      </c>
      <c r="H1251" s="514">
        <v>0.2</v>
      </c>
      <c r="I1251" s="514">
        <v>0.2</v>
      </c>
      <c r="J1251" s="514">
        <v>0.2</v>
      </c>
      <c r="K1251" s="514">
        <v>0.2</v>
      </c>
      <c r="L1251" s="514">
        <v>0.2</v>
      </c>
      <c r="M1251" s="514">
        <v>0.2</v>
      </c>
      <c r="N1251" s="514">
        <v>0.2</v>
      </c>
      <c r="O1251" s="499"/>
      <c r="P1251" s="499"/>
      <c r="Q1251" s="499"/>
    </row>
    <row r="1252" spans="1:17" ht="14.4" x14ac:dyDescent="0.3">
      <c r="A1252" s="502">
        <v>2830500</v>
      </c>
      <c r="B1252" s="503" t="s">
        <v>3030</v>
      </c>
      <c r="C1252" s="514">
        <v>0</v>
      </c>
      <c r="D1252" s="514">
        <v>0</v>
      </c>
      <c r="E1252" s="514">
        <v>0</v>
      </c>
      <c r="F1252" s="514">
        <v>0</v>
      </c>
      <c r="G1252" s="514">
        <v>0</v>
      </c>
      <c r="H1252" s="514">
        <v>0</v>
      </c>
      <c r="I1252" s="514">
        <v>0</v>
      </c>
      <c r="J1252" s="514">
        <v>0</v>
      </c>
      <c r="K1252" s="514">
        <v>0</v>
      </c>
      <c r="L1252" s="514">
        <v>0</v>
      </c>
      <c r="M1252" s="514">
        <v>0</v>
      </c>
      <c r="N1252" s="514">
        <v>0</v>
      </c>
      <c r="O1252" s="499"/>
      <c r="P1252" s="499"/>
      <c r="Q1252" s="499"/>
    </row>
    <row r="1253" spans="1:17" ht="14.4" x14ac:dyDescent="0.3">
      <c r="A1253" s="502">
        <v>2830600</v>
      </c>
      <c r="B1253" s="503" t="s">
        <v>3031</v>
      </c>
      <c r="C1253" s="514">
        <v>0</v>
      </c>
      <c r="D1253" s="514">
        <v>0</v>
      </c>
      <c r="E1253" s="514">
        <v>0</v>
      </c>
      <c r="F1253" s="514">
        <v>0</v>
      </c>
      <c r="G1253" s="514">
        <v>0</v>
      </c>
      <c r="H1253" s="514">
        <v>0</v>
      </c>
      <c r="I1253" s="514">
        <v>0</v>
      </c>
      <c r="J1253" s="514">
        <v>0</v>
      </c>
      <c r="K1253" s="514">
        <v>0</v>
      </c>
      <c r="L1253" s="514">
        <v>0</v>
      </c>
      <c r="M1253" s="514">
        <v>0</v>
      </c>
      <c r="N1253" s="514">
        <v>0</v>
      </c>
      <c r="O1253" s="499"/>
      <c r="P1253" s="499"/>
      <c r="Q1253" s="499"/>
    </row>
    <row r="1254" spans="1:17" ht="14.4" x14ac:dyDescent="0.3">
      <c r="A1254" s="504">
        <v>2830610</v>
      </c>
      <c r="B1254" s="505" t="s">
        <v>3032</v>
      </c>
      <c r="C1254" s="514">
        <v>64608023.549999997</v>
      </c>
      <c r="D1254" s="514">
        <v>62992640.280000001</v>
      </c>
      <c r="E1254" s="514">
        <v>63316451.310000002</v>
      </c>
      <c r="F1254" s="514">
        <v>61245206.770000003</v>
      </c>
      <c r="G1254" s="514">
        <v>60318839.960000001</v>
      </c>
      <c r="H1254" s="514">
        <v>59615485.600000001</v>
      </c>
      <c r="I1254" s="514">
        <v>58808735.159999996</v>
      </c>
      <c r="J1254" s="514">
        <v>57986051.149999999</v>
      </c>
      <c r="K1254" s="514">
        <v>54123367.450000003</v>
      </c>
      <c r="L1254" s="514">
        <v>53276549.469999999</v>
      </c>
      <c r="M1254" s="514">
        <v>52420796.18</v>
      </c>
      <c r="N1254" s="514">
        <v>53203152.240000002</v>
      </c>
      <c r="O1254" s="499"/>
      <c r="P1254" s="499"/>
      <c r="Q1254" s="499"/>
    </row>
    <row r="1255" spans="1:17" ht="14.4" x14ac:dyDescent="0.3">
      <c r="A1255" s="504">
        <v>2830611</v>
      </c>
      <c r="B1255" s="505" t="s">
        <v>3033</v>
      </c>
      <c r="C1255" s="514">
        <v>243480.63</v>
      </c>
      <c r="D1255" s="514">
        <v>243480.63</v>
      </c>
      <c r="E1255" s="514">
        <v>243480.63</v>
      </c>
      <c r="F1255" s="514">
        <v>243480.63</v>
      </c>
      <c r="G1255" s="514">
        <v>243480.63</v>
      </c>
      <c r="H1255" s="514">
        <v>243480.63</v>
      </c>
      <c r="I1255" s="514">
        <v>243480.63</v>
      </c>
      <c r="J1255" s="514">
        <v>243480.63</v>
      </c>
      <c r="K1255" s="514">
        <v>243480.63</v>
      </c>
      <c r="L1255" s="514">
        <v>243480.63</v>
      </c>
      <c r="M1255" s="514">
        <v>243480.63</v>
      </c>
      <c r="N1255" s="514">
        <v>243480.63</v>
      </c>
      <c r="O1255" s="499"/>
      <c r="P1255" s="499"/>
      <c r="Q1255" s="499"/>
    </row>
    <row r="1256" spans="1:17" ht="14.4" x14ac:dyDescent="0.3">
      <c r="A1256" s="502">
        <v>4070211</v>
      </c>
      <c r="B1256" s="503" t="s">
        <v>732</v>
      </c>
      <c r="C1256" s="514">
        <v>2157182.09</v>
      </c>
      <c r="D1256" s="514">
        <v>2157182.09</v>
      </c>
      <c r="E1256" s="514">
        <v>2157182.09</v>
      </c>
      <c r="F1256" s="514">
        <v>2157182.09</v>
      </c>
      <c r="G1256" s="514">
        <v>2157182.09</v>
      </c>
      <c r="H1256" s="514">
        <v>2157182.09</v>
      </c>
      <c r="I1256" s="514">
        <v>2157182.09</v>
      </c>
      <c r="J1256" s="514">
        <v>2157182.09</v>
      </c>
      <c r="K1256" s="514">
        <v>2157182.09</v>
      </c>
      <c r="L1256" s="514">
        <v>2157182.09</v>
      </c>
      <c r="M1256" s="514">
        <v>2157182.09</v>
      </c>
      <c r="N1256" s="514">
        <v>2157182.0299999998</v>
      </c>
      <c r="O1256" s="499"/>
      <c r="P1256" s="499"/>
      <c r="Q1256" s="499"/>
    </row>
    <row r="1257" spans="1:17" ht="14.4" x14ac:dyDescent="0.3">
      <c r="A1257" s="502">
        <v>4073020</v>
      </c>
      <c r="B1257" s="503" t="s">
        <v>561</v>
      </c>
      <c r="C1257" s="514">
        <v>0</v>
      </c>
      <c r="D1257" s="514">
        <v>0</v>
      </c>
      <c r="E1257" s="514">
        <v>0</v>
      </c>
      <c r="F1257" s="514">
        <v>0</v>
      </c>
      <c r="G1257" s="514">
        <v>0</v>
      </c>
      <c r="H1257" s="514">
        <v>3777484.08</v>
      </c>
      <c r="I1257" s="514">
        <v>2107953.5099999998</v>
      </c>
      <c r="J1257" s="514">
        <v>818552.74</v>
      </c>
      <c r="K1257" s="514">
        <v>8098388.4900000002</v>
      </c>
      <c r="L1257" s="514">
        <v>2594437.2999999998</v>
      </c>
      <c r="M1257" s="514">
        <v>2519360.58</v>
      </c>
      <c r="N1257" s="514">
        <v>0</v>
      </c>
      <c r="O1257" s="499"/>
      <c r="P1257" s="499"/>
      <c r="Q1257" s="499"/>
    </row>
    <row r="1258" spans="1:17" ht="14.4" x14ac:dyDescent="0.3">
      <c r="A1258" s="502">
        <v>4073021</v>
      </c>
      <c r="B1258" s="503" t="s">
        <v>689</v>
      </c>
      <c r="C1258" s="514">
        <v>260983</v>
      </c>
      <c r="D1258" s="514">
        <v>260983</v>
      </c>
      <c r="E1258" s="514">
        <v>260983</v>
      </c>
      <c r="F1258" s="514">
        <v>260983</v>
      </c>
      <c r="G1258" s="514">
        <v>260983</v>
      </c>
      <c r="H1258" s="514">
        <v>260983</v>
      </c>
      <c r="I1258" s="514">
        <v>260983</v>
      </c>
      <c r="J1258" s="514">
        <v>260983</v>
      </c>
      <c r="K1258" s="514">
        <v>260983</v>
      </c>
      <c r="L1258" s="514">
        <v>260983</v>
      </c>
      <c r="M1258" s="514">
        <v>260983</v>
      </c>
      <c r="N1258" s="514">
        <v>260983</v>
      </c>
      <c r="O1258" s="499"/>
      <c r="P1258" s="499"/>
      <c r="Q1258" s="499"/>
    </row>
    <row r="1259" spans="1:17" ht="14.4" x14ac:dyDescent="0.3">
      <c r="A1259" s="502">
        <v>4073022</v>
      </c>
      <c r="B1259" s="503" t="s">
        <v>563</v>
      </c>
      <c r="C1259" s="514">
        <v>0</v>
      </c>
      <c r="D1259" s="514">
        <v>0</v>
      </c>
      <c r="E1259" s="514">
        <v>0</v>
      </c>
      <c r="F1259" s="514">
        <v>0</v>
      </c>
      <c r="G1259" s="514">
        <v>0</v>
      </c>
      <c r="H1259" s="514">
        <v>0</v>
      </c>
      <c r="I1259" s="514">
        <v>0</v>
      </c>
      <c r="J1259" s="514">
        <v>0</v>
      </c>
      <c r="K1259" s="514">
        <v>0</v>
      </c>
      <c r="L1259" s="514">
        <v>0</v>
      </c>
      <c r="M1259" s="514">
        <v>0</v>
      </c>
      <c r="N1259" s="514">
        <v>0</v>
      </c>
      <c r="O1259" s="499"/>
      <c r="P1259" s="499"/>
      <c r="Q1259" s="499"/>
    </row>
    <row r="1260" spans="1:17" ht="14.4" x14ac:dyDescent="0.3">
      <c r="A1260" s="502">
        <v>4073030</v>
      </c>
      <c r="B1260" s="503" t="s">
        <v>565</v>
      </c>
      <c r="C1260" s="514">
        <v>0</v>
      </c>
      <c r="D1260" s="514">
        <v>0</v>
      </c>
      <c r="E1260" s="514">
        <v>283304.03999999998</v>
      </c>
      <c r="F1260" s="514">
        <v>0</v>
      </c>
      <c r="G1260" s="514">
        <v>325104.8</v>
      </c>
      <c r="H1260" s="514">
        <v>372810.74</v>
      </c>
      <c r="I1260" s="514">
        <v>390588.2</v>
      </c>
      <c r="J1260" s="514">
        <v>389032.92</v>
      </c>
      <c r="K1260" s="514">
        <v>394539.28</v>
      </c>
      <c r="L1260" s="514">
        <v>359696.1</v>
      </c>
      <c r="M1260" s="514">
        <v>310161.26</v>
      </c>
      <c r="N1260" s="514">
        <v>294732.63</v>
      </c>
      <c r="O1260" s="499"/>
      <c r="P1260" s="499"/>
      <c r="Q1260" s="499"/>
    </row>
    <row r="1261" spans="1:17" ht="14.4" x14ac:dyDescent="0.3">
      <c r="A1261" s="502">
        <v>4073031</v>
      </c>
      <c r="B1261" s="503" t="s">
        <v>3034</v>
      </c>
      <c r="C1261" s="514">
        <v>19570</v>
      </c>
      <c r="D1261" s="514">
        <v>19570</v>
      </c>
      <c r="E1261" s="514">
        <v>19570</v>
      </c>
      <c r="F1261" s="514">
        <v>19570</v>
      </c>
      <c r="G1261" s="514">
        <v>19570</v>
      </c>
      <c r="H1261" s="514">
        <v>19570</v>
      </c>
      <c r="I1261" s="514">
        <v>19570</v>
      </c>
      <c r="J1261" s="514">
        <v>19570</v>
      </c>
      <c r="K1261" s="514">
        <v>19570</v>
      </c>
      <c r="L1261" s="514">
        <v>19570</v>
      </c>
      <c r="M1261" s="514">
        <v>19570</v>
      </c>
      <c r="N1261" s="514">
        <v>19570</v>
      </c>
      <c r="O1261" s="499"/>
      <c r="P1261" s="499"/>
      <c r="Q1261" s="499"/>
    </row>
    <row r="1262" spans="1:17" ht="14.4" x14ac:dyDescent="0.3">
      <c r="A1262" s="502">
        <v>4073040</v>
      </c>
      <c r="B1262" s="503" t="s">
        <v>567</v>
      </c>
      <c r="C1262" s="514">
        <v>1274135.67</v>
      </c>
      <c r="D1262" s="514">
        <v>949029.09</v>
      </c>
      <c r="E1262" s="514">
        <v>613718.01</v>
      </c>
      <c r="F1262" s="514">
        <v>747454.19</v>
      </c>
      <c r="G1262" s="514">
        <v>1433849.03</v>
      </c>
      <c r="H1262" s="514">
        <v>2351269.06</v>
      </c>
      <c r="I1262" s="514">
        <v>2011160.52</v>
      </c>
      <c r="J1262" s="514">
        <v>2363278.31</v>
      </c>
      <c r="K1262" s="514">
        <v>2465577.5099999998</v>
      </c>
      <c r="L1262" s="514">
        <v>2036713.21</v>
      </c>
      <c r="M1262" s="514">
        <v>1227847.74</v>
      </c>
      <c r="N1262" s="514">
        <v>963384.69</v>
      </c>
      <c r="O1262" s="499"/>
      <c r="P1262" s="499"/>
      <c r="Q1262" s="499"/>
    </row>
    <row r="1263" spans="1:17" ht="14.4" x14ac:dyDescent="0.3">
      <c r="A1263" s="502">
        <v>4073041</v>
      </c>
      <c r="B1263" s="503" t="s">
        <v>3035</v>
      </c>
      <c r="C1263" s="514">
        <v>0</v>
      </c>
      <c r="D1263" s="514">
        <v>0</v>
      </c>
      <c r="E1263" s="514">
        <v>0</v>
      </c>
      <c r="F1263" s="514">
        <v>0</v>
      </c>
      <c r="G1263" s="514">
        <v>0</v>
      </c>
      <c r="H1263" s="514">
        <v>0</v>
      </c>
      <c r="I1263" s="514">
        <v>0</v>
      </c>
      <c r="J1263" s="514">
        <v>0</v>
      </c>
      <c r="K1263" s="514">
        <v>0</v>
      </c>
      <c r="L1263" s="514">
        <v>0</v>
      </c>
      <c r="M1263" s="514">
        <v>0</v>
      </c>
      <c r="N1263" s="514">
        <v>0</v>
      </c>
      <c r="O1263" s="499"/>
      <c r="P1263" s="499"/>
      <c r="Q1263" s="499"/>
    </row>
    <row r="1264" spans="1:17" ht="14.4" x14ac:dyDescent="0.3">
      <c r="A1264" s="502">
        <v>4073050</v>
      </c>
      <c r="B1264" s="503" t="s">
        <v>569</v>
      </c>
      <c r="C1264" s="514">
        <v>0</v>
      </c>
      <c r="D1264" s="514">
        <v>0</v>
      </c>
      <c r="E1264" s="514">
        <v>0</v>
      </c>
      <c r="F1264" s="514">
        <v>0</v>
      </c>
      <c r="G1264" s="514">
        <v>73969</v>
      </c>
      <c r="H1264" s="514">
        <v>306762</v>
      </c>
      <c r="I1264" s="514">
        <v>407071</v>
      </c>
      <c r="J1264" s="514">
        <v>415850</v>
      </c>
      <c r="K1264" s="514">
        <v>449582</v>
      </c>
      <c r="L1264" s="514">
        <v>272637</v>
      </c>
      <c r="M1264" s="514">
        <v>47175</v>
      </c>
      <c r="N1264" s="514">
        <v>0</v>
      </c>
      <c r="O1264" s="499"/>
      <c r="P1264" s="499"/>
      <c r="Q1264" s="499"/>
    </row>
    <row r="1265" spans="1:17" ht="14.4" x14ac:dyDescent="0.3">
      <c r="A1265" s="502">
        <v>4073051</v>
      </c>
      <c r="B1265" s="503" t="s">
        <v>3036</v>
      </c>
      <c r="C1265" s="514">
        <v>0</v>
      </c>
      <c r="D1265" s="514">
        <v>0</v>
      </c>
      <c r="E1265" s="514">
        <v>0</v>
      </c>
      <c r="F1265" s="514">
        <v>0</v>
      </c>
      <c r="G1265" s="514">
        <v>0</v>
      </c>
      <c r="H1265" s="514">
        <v>0</v>
      </c>
      <c r="I1265" s="514">
        <v>0</v>
      </c>
      <c r="J1265" s="514">
        <v>0</v>
      </c>
      <c r="K1265" s="514">
        <v>0</v>
      </c>
      <c r="L1265" s="514">
        <v>0</v>
      </c>
      <c r="M1265" s="514">
        <v>0</v>
      </c>
      <c r="N1265" s="514">
        <v>0</v>
      </c>
      <c r="O1265" s="499"/>
      <c r="P1265" s="499"/>
      <c r="Q1265" s="499"/>
    </row>
    <row r="1266" spans="1:17" ht="14.4" x14ac:dyDescent="0.3">
      <c r="A1266" s="502">
        <v>4073052</v>
      </c>
      <c r="B1266" s="503" t="s">
        <v>3037</v>
      </c>
      <c r="C1266" s="514">
        <v>0</v>
      </c>
      <c r="D1266" s="514">
        <v>0</v>
      </c>
      <c r="E1266" s="514">
        <v>0</v>
      </c>
      <c r="F1266" s="514">
        <v>0</v>
      </c>
      <c r="G1266" s="514">
        <v>0</v>
      </c>
      <c r="H1266" s="514">
        <v>0</v>
      </c>
      <c r="I1266" s="514">
        <v>0</v>
      </c>
      <c r="J1266" s="514">
        <v>0</v>
      </c>
      <c r="K1266" s="514">
        <v>0</v>
      </c>
      <c r="L1266" s="514">
        <v>0</v>
      </c>
      <c r="M1266" s="514">
        <v>0</v>
      </c>
      <c r="N1266" s="514">
        <v>0</v>
      </c>
      <c r="O1266" s="499"/>
      <c r="P1266" s="499"/>
      <c r="Q1266" s="499"/>
    </row>
    <row r="1267" spans="1:17" ht="14.4" x14ac:dyDescent="0.3">
      <c r="A1267" s="502">
        <v>4073060</v>
      </c>
      <c r="B1267" s="503" t="s">
        <v>3038</v>
      </c>
      <c r="C1267" s="514">
        <v>0</v>
      </c>
      <c r="D1267" s="514">
        <v>0</v>
      </c>
      <c r="E1267" s="514">
        <v>0</v>
      </c>
      <c r="F1267" s="514">
        <v>0</v>
      </c>
      <c r="G1267" s="514">
        <v>0</v>
      </c>
      <c r="H1267" s="514">
        <v>0</v>
      </c>
      <c r="I1267" s="514">
        <v>0</v>
      </c>
      <c r="J1267" s="514">
        <v>0</v>
      </c>
      <c r="K1267" s="514">
        <v>0</v>
      </c>
      <c r="L1267" s="514">
        <v>0</v>
      </c>
      <c r="M1267" s="514">
        <v>0</v>
      </c>
      <c r="N1267" s="514">
        <v>0</v>
      </c>
      <c r="O1267" s="499"/>
      <c r="P1267" s="499"/>
      <c r="Q1267" s="499"/>
    </row>
    <row r="1268" spans="1:17" ht="14.4" x14ac:dyDescent="0.3">
      <c r="A1268" s="502">
        <v>4073061</v>
      </c>
      <c r="B1268" s="503" t="s">
        <v>3039</v>
      </c>
      <c r="C1268" s="514">
        <v>0</v>
      </c>
      <c r="D1268" s="514">
        <v>0</v>
      </c>
      <c r="E1268" s="514">
        <v>0</v>
      </c>
      <c r="F1268" s="514">
        <v>0</v>
      </c>
      <c r="G1268" s="514">
        <v>0</v>
      </c>
      <c r="H1268" s="514">
        <v>0</v>
      </c>
      <c r="I1268" s="514">
        <v>0</v>
      </c>
      <c r="J1268" s="514">
        <v>0</v>
      </c>
      <c r="K1268" s="514">
        <v>0</v>
      </c>
      <c r="L1268" s="514">
        <v>0</v>
      </c>
      <c r="M1268" s="514">
        <v>0</v>
      </c>
      <c r="N1268" s="514">
        <v>0</v>
      </c>
      <c r="O1268" s="499"/>
      <c r="P1268" s="499"/>
      <c r="Q1268" s="499"/>
    </row>
    <row r="1269" spans="1:17" ht="14.4" x14ac:dyDescent="0.3">
      <c r="A1269" s="502">
        <v>4073071</v>
      </c>
      <c r="B1269" s="503" t="s">
        <v>3040</v>
      </c>
      <c r="C1269" s="514">
        <v>0</v>
      </c>
      <c r="D1269" s="514">
        <v>0</v>
      </c>
      <c r="E1269" s="514">
        <v>0</v>
      </c>
      <c r="F1269" s="514">
        <v>0</v>
      </c>
      <c r="G1269" s="514">
        <v>0</v>
      </c>
      <c r="H1269" s="514">
        <v>0</v>
      </c>
      <c r="I1269" s="514">
        <v>0</v>
      </c>
      <c r="J1269" s="514">
        <v>0</v>
      </c>
      <c r="K1269" s="514">
        <v>0</v>
      </c>
      <c r="L1269" s="514">
        <v>0</v>
      </c>
      <c r="M1269" s="514">
        <v>0</v>
      </c>
      <c r="N1269" s="514">
        <v>0</v>
      </c>
      <c r="O1269" s="499"/>
      <c r="P1269" s="499"/>
      <c r="Q1269" s="499"/>
    </row>
    <row r="1270" spans="1:17" ht="14.4" x14ac:dyDescent="0.3">
      <c r="A1270" s="502">
        <v>4073072</v>
      </c>
      <c r="B1270" s="503" t="s">
        <v>3041</v>
      </c>
      <c r="C1270" s="514">
        <v>0</v>
      </c>
      <c r="D1270" s="514">
        <v>0</v>
      </c>
      <c r="E1270" s="514">
        <v>0</v>
      </c>
      <c r="F1270" s="514">
        <v>0</v>
      </c>
      <c r="G1270" s="514">
        <v>0</v>
      </c>
      <c r="H1270" s="514">
        <v>0</v>
      </c>
      <c r="I1270" s="514">
        <v>0</v>
      </c>
      <c r="J1270" s="514">
        <v>0</v>
      </c>
      <c r="K1270" s="514">
        <v>0</v>
      </c>
      <c r="L1270" s="514">
        <v>0</v>
      </c>
      <c r="M1270" s="514">
        <v>0</v>
      </c>
      <c r="N1270" s="514">
        <v>0</v>
      </c>
      <c r="O1270" s="499"/>
      <c r="P1270" s="499"/>
      <c r="Q1270" s="499"/>
    </row>
    <row r="1271" spans="1:17" ht="14.4" x14ac:dyDescent="0.3">
      <c r="A1271" s="502">
        <v>4073090</v>
      </c>
      <c r="B1271" s="503" t="s">
        <v>571</v>
      </c>
      <c r="C1271" s="514">
        <v>0</v>
      </c>
      <c r="D1271" s="514">
        <v>0</v>
      </c>
      <c r="E1271" s="514">
        <v>0</v>
      </c>
      <c r="F1271" s="514">
        <v>0</v>
      </c>
      <c r="G1271" s="514">
        <v>0</v>
      </c>
      <c r="H1271" s="514">
        <v>535982</v>
      </c>
      <c r="I1271" s="514">
        <v>1045534</v>
      </c>
      <c r="J1271" s="514">
        <v>901996</v>
      </c>
      <c r="K1271" s="514">
        <v>1052189</v>
      </c>
      <c r="L1271" s="514">
        <v>0</v>
      </c>
      <c r="M1271" s="514">
        <v>0</v>
      </c>
      <c r="N1271" s="514">
        <v>0</v>
      </c>
      <c r="O1271" s="499"/>
      <c r="P1271" s="499"/>
      <c r="Q1271" s="499"/>
    </row>
    <row r="1272" spans="1:17" ht="14.4" x14ac:dyDescent="0.3">
      <c r="A1272" s="502">
        <v>4073091</v>
      </c>
      <c r="B1272" s="503" t="s">
        <v>3042</v>
      </c>
      <c r="C1272" s="514">
        <v>71202</v>
      </c>
      <c r="D1272" s="514">
        <v>71202</v>
      </c>
      <c r="E1272" s="514">
        <v>71202</v>
      </c>
      <c r="F1272" s="514">
        <v>71202</v>
      </c>
      <c r="G1272" s="514">
        <v>71202</v>
      </c>
      <c r="H1272" s="514">
        <v>71202</v>
      </c>
      <c r="I1272" s="514">
        <v>71202</v>
      </c>
      <c r="J1272" s="514">
        <v>71202</v>
      </c>
      <c r="K1272" s="514">
        <v>71202</v>
      </c>
      <c r="L1272" s="514">
        <v>71202</v>
      </c>
      <c r="M1272" s="514">
        <v>71202</v>
      </c>
      <c r="N1272" s="514">
        <v>71202</v>
      </c>
      <c r="O1272" s="499"/>
      <c r="P1272" s="499"/>
      <c r="Q1272" s="499"/>
    </row>
    <row r="1273" spans="1:17" ht="14.4" x14ac:dyDescent="0.3">
      <c r="A1273" s="502">
        <v>4073140</v>
      </c>
      <c r="B1273" s="503" t="s">
        <v>3043</v>
      </c>
      <c r="C1273" s="514">
        <v>0</v>
      </c>
      <c r="D1273" s="514">
        <v>0</v>
      </c>
      <c r="E1273" s="514">
        <v>0</v>
      </c>
      <c r="F1273" s="514">
        <v>0</v>
      </c>
      <c r="G1273" s="514">
        <v>0</v>
      </c>
      <c r="H1273" s="514">
        <v>0</v>
      </c>
      <c r="I1273" s="514">
        <v>0</v>
      </c>
      <c r="J1273" s="514">
        <v>0</v>
      </c>
      <c r="K1273" s="514">
        <v>0</v>
      </c>
      <c r="L1273" s="514">
        <v>0</v>
      </c>
      <c r="M1273" s="514">
        <v>0</v>
      </c>
      <c r="N1273" s="514">
        <v>0</v>
      </c>
      <c r="O1273" s="499"/>
      <c r="P1273" s="499"/>
      <c r="Q1273" s="499"/>
    </row>
    <row r="1274" spans="1:17" ht="14.4" x14ac:dyDescent="0.3">
      <c r="A1274" s="502">
        <v>4073141</v>
      </c>
      <c r="B1274" s="503" t="s">
        <v>3044</v>
      </c>
      <c r="C1274" s="514">
        <v>0</v>
      </c>
      <c r="D1274" s="514">
        <v>0</v>
      </c>
      <c r="E1274" s="514">
        <v>0</v>
      </c>
      <c r="F1274" s="514">
        <v>0</v>
      </c>
      <c r="G1274" s="514">
        <v>0</v>
      </c>
      <c r="H1274" s="514">
        <v>0</v>
      </c>
      <c r="I1274" s="514">
        <v>0</v>
      </c>
      <c r="J1274" s="514">
        <v>0</v>
      </c>
      <c r="K1274" s="514">
        <v>0</v>
      </c>
      <c r="L1274" s="514">
        <v>0</v>
      </c>
      <c r="M1274" s="514">
        <v>0</v>
      </c>
      <c r="N1274" s="514">
        <v>0</v>
      </c>
      <c r="O1274" s="499"/>
      <c r="P1274" s="499"/>
      <c r="Q1274" s="499"/>
    </row>
    <row r="1275" spans="1:17" ht="14.4" x14ac:dyDescent="0.3">
      <c r="A1275" s="502">
        <v>4073200</v>
      </c>
      <c r="B1275" s="503" t="s">
        <v>720</v>
      </c>
      <c r="C1275" s="514">
        <v>0</v>
      </c>
      <c r="D1275" s="514">
        <v>0</v>
      </c>
      <c r="E1275" s="514">
        <v>4892.8900000000003</v>
      </c>
      <c r="F1275" s="514">
        <v>0</v>
      </c>
      <c r="G1275" s="514">
        <v>0</v>
      </c>
      <c r="H1275" s="514">
        <v>4892.8900000000003</v>
      </c>
      <c r="I1275" s="514">
        <v>0</v>
      </c>
      <c r="J1275" s="514">
        <v>0</v>
      </c>
      <c r="K1275" s="514">
        <v>4892.8900000000003</v>
      </c>
      <c r="L1275" s="514">
        <v>0</v>
      </c>
      <c r="M1275" s="514">
        <v>0</v>
      </c>
      <c r="N1275" s="514">
        <v>4892.8900000000003</v>
      </c>
      <c r="O1275" s="499"/>
      <c r="P1275" s="499"/>
      <c r="Q1275" s="499"/>
    </row>
    <row r="1276" spans="1:17" ht="14.4" x14ac:dyDescent="0.3">
      <c r="A1276" s="502">
        <v>4073210</v>
      </c>
      <c r="B1276" s="503" t="s">
        <v>3045</v>
      </c>
      <c r="C1276" s="514">
        <v>0</v>
      </c>
      <c r="D1276" s="514">
        <v>0</v>
      </c>
      <c r="E1276" s="514">
        <v>0</v>
      </c>
      <c r="F1276" s="514">
        <v>0</v>
      </c>
      <c r="G1276" s="514">
        <v>0</v>
      </c>
      <c r="H1276" s="514">
        <v>0</v>
      </c>
      <c r="I1276" s="514">
        <v>0</v>
      </c>
      <c r="J1276" s="514">
        <v>0</v>
      </c>
      <c r="K1276" s="514">
        <v>0</v>
      </c>
      <c r="L1276" s="514">
        <v>0</v>
      </c>
      <c r="M1276" s="514">
        <v>0</v>
      </c>
      <c r="N1276" s="514">
        <v>0</v>
      </c>
      <c r="O1276" s="499"/>
      <c r="P1276" s="499"/>
      <c r="Q1276" s="499"/>
    </row>
    <row r="1277" spans="1:17" ht="14.4" x14ac:dyDescent="0.3">
      <c r="A1277" s="502">
        <v>4073212</v>
      </c>
      <c r="B1277" s="503" t="s">
        <v>722</v>
      </c>
      <c r="C1277" s="514">
        <v>504440.83</v>
      </c>
      <c r="D1277" s="514">
        <v>504440.83</v>
      </c>
      <c r="E1277" s="514">
        <v>504440.83</v>
      </c>
      <c r="F1277" s="514">
        <v>504440.83</v>
      </c>
      <c r="G1277" s="514">
        <v>504440.83</v>
      </c>
      <c r="H1277" s="514">
        <v>504440.83</v>
      </c>
      <c r="I1277" s="514">
        <v>504440.83</v>
      </c>
      <c r="J1277" s="514">
        <v>504440.83</v>
      </c>
      <c r="K1277" s="514">
        <v>504440.83</v>
      </c>
      <c r="L1277" s="514">
        <v>504440.83</v>
      </c>
      <c r="M1277" s="514">
        <v>504440.83</v>
      </c>
      <c r="N1277" s="514">
        <v>504440.83</v>
      </c>
      <c r="O1277" s="499"/>
      <c r="P1277" s="499"/>
      <c r="Q1277" s="499"/>
    </row>
    <row r="1278" spans="1:17" ht="14.4" x14ac:dyDescent="0.3">
      <c r="A1278" s="502">
        <v>4073213</v>
      </c>
      <c r="B1278" s="503" t="s">
        <v>573</v>
      </c>
      <c r="C1278" s="514">
        <v>61770</v>
      </c>
      <c r="D1278" s="514">
        <v>58046</v>
      </c>
      <c r="E1278" s="514">
        <v>55576</v>
      </c>
      <c r="F1278" s="514">
        <v>58228</v>
      </c>
      <c r="G1278" s="514">
        <v>65235</v>
      </c>
      <c r="H1278" s="514">
        <v>76290</v>
      </c>
      <c r="I1278" s="514">
        <v>80390</v>
      </c>
      <c r="J1278" s="514">
        <v>80034</v>
      </c>
      <c r="K1278" s="514">
        <v>81478</v>
      </c>
      <c r="L1278" s="514">
        <v>73164</v>
      </c>
      <c r="M1278" s="514">
        <v>61807</v>
      </c>
      <c r="N1278" s="514">
        <v>58314</v>
      </c>
      <c r="O1278" s="499"/>
      <c r="P1278" s="499"/>
      <c r="Q1278" s="499"/>
    </row>
    <row r="1279" spans="1:17" ht="14.4" x14ac:dyDescent="0.3">
      <c r="A1279" s="502">
        <v>4074020</v>
      </c>
      <c r="B1279" s="503" t="s">
        <v>691</v>
      </c>
      <c r="C1279" s="514">
        <v>5114614.1399999997</v>
      </c>
      <c r="D1279" s="514">
        <v>2318172.71</v>
      </c>
      <c r="E1279" s="514">
        <v>3602238.2</v>
      </c>
      <c r="F1279" s="514">
        <v>1891282.31</v>
      </c>
      <c r="G1279" s="514">
        <v>24040.799999999999</v>
      </c>
      <c r="H1279" s="514">
        <v>0</v>
      </c>
      <c r="I1279" s="514">
        <v>0</v>
      </c>
      <c r="J1279" s="514">
        <v>0</v>
      </c>
      <c r="K1279" s="514">
        <v>0</v>
      </c>
      <c r="L1279" s="514">
        <v>0</v>
      </c>
      <c r="M1279" s="514">
        <v>0</v>
      </c>
      <c r="N1279" s="514">
        <v>7290355.3499999996</v>
      </c>
      <c r="O1279" s="499"/>
      <c r="P1279" s="499"/>
      <c r="Q1279" s="499"/>
    </row>
    <row r="1280" spans="1:17" ht="14.4" x14ac:dyDescent="0.3">
      <c r="A1280" s="502">
        <v>4074021</v>
      </c>
      <c r="B1280" s="503" t="s">
        <v>3046</v>
      </c>
      <c r="C1280" s="514">
        <v>0</v>
      </c>
      <c r="D1280" s="514">
        <v>0</v>
      </c>
      <c r="E1280" s="514">
        <v>0</v>
      </c>
      <c r="F1280" s="514">
        <v>0</v>
      </c>
      <c r="G1280" s="514">
        <v>0</v>
      </c>
      <c r="H1280" s="514">
        <v>0</v>
      </c>
      <c r="I1280" s="514">
        <v>0</v>
      </c>
      <c r="J1280" s="514">
        <v>0</v>
      </c>
      <c r="K1280" s="514">
        <v>0</v>
      </c>
      <c r="L1280" s="514">
        <v>0</v>
      </c>
      <c r="M1280" s="514">
        <v>0</v>
      </c>
      <c r="N1280" s="514">
        <v>0</v>
      </c>
      <c r="O1280" s="499"/>
      <c r="P1280" s="499"/>
      <c r="Q1280" s="499"/>
    </row>
    <row r="1281" spans="1:17" ht="14.4" x14ac:dyDescent="0.3">
      <c r="A1281" s="502">
        <v>4074030</v>
      </c>
      <c r="B1281" s="503" t="s">
        <v>693</v>
      </c>
      <c r="C1281" s="514">
        <v>1755041.88</v>
      </c>
      <c r="D1281" s="514">
        <v>1570435.81</v>
      </c>
      <c r="E1281" s="514">
        <v>0</v>
      </c>
      <c r="F1281" s="514">
        <v>1171481.47</v>
      </c>
      <c r="G1281" s="514">
        <v>0</v>
      </c>
      <c r="H1281" s="514">
        <v>0</v>
      </c>
      <c r="I1281" s="514">
        <v>0</v>
      </c>
      <c r="J1281" s="514">
        <v>0</v>
      </c>
      <c r="K1281" s="514">
        <v>0</v>
      </c>
      <c r="L1281" s="514">
        <v>0</v>
      </c>
      <c r="M1281" s="514">
        <v>0</v>
      </c>
      <c r="N1281" s="514">
        <v>0</v>
      </c>
      <c r="O1281" s="499"/>
      <c r="P1281" s="499"/>
      <c r="Q1281" s="499"/>
    </row>
    <row r="1282" spans="1:17" ht="14.4" x14ac:dyDescent="0.3">
      <c r="A1282" s="504">
        <v>4074031</v>
      </c>
      <c r="B1282" s="505" t="s">
        <v>575</v>
      </c>
      <c r="C1282" s="514">
        <v>0</v>
      </c>
      <c r="D1282" s="514">
        <v>0</v>
      </c>
      <c r="E1282" s="514">
        <v>0</v>
      </c>
      <c r="F1282" s="514">
        <v>0</v>
      </c>
      <c r="G1282" s="514">
        <v>0</v>
      </c>
      <c r="H1282" s="514">
        <v>0</v>
      </c>
      <c r="I1282" s="514">
        <v>0</v>
      </c>
      <c r="J1282" s="514">
        <v>0</v>
      </c>
      <c r="K1282" s="514">
        <v>0</v>
      </c>
      <c r="L1282" s="514">
        <v>0</v>
      </c>
      <c r="M1282" s="514">
        <v>0</v>
      </c>
      <c r="N1282" s="514">
        <v>0</v>
      </c>
      <c r="O1282" s="499"/>
      <c r="P1282" s="499"/>
      <c r="Q1282" s="499"/>
    </row>
    <row r="1283" spans="1:17" ht="14.4" x14ac:dyDescent="0.3">
      <c r="A1283" s="502">
        <v>4074040</v>
      </c>
      <c r="B1283" s="503" t="s">
        <v>724</v>
      </c>
      <c r="C1283" s="514">
        <v>0</v>
      </c>
      <c r="D1283" s="514">
        <v>0</v>
      </c>
      <c r="E1283" s="514">
        <v>0</v>
      </c>
      <c r="F1283" s="514">
        <v>0</v>
      </c>
      <c r="G1283" s="514">
        <v>0</v>
      </c>
      <c r="H1283" s="514">
        <v>0</v>
      </c>
      <c r="I1283" s="514">
        <v>0</v>
      </c>
      <c r="J1283" s="514">
        <v>0</v>
      </c>
      <c r="K1283" s="514">
        <v>0</v>
      </c>
      <c r="L1283" s="514">
        <v>0</v>
      </c>
      <c r="M1283" s="514">
        <v>0</v>
      </c>
      <c r="N1283" s="514">
        <v>0</v>
      </c>
      <c r="O1283" s="499"/>
      <c r="P1283" s="499"/>
      <c r="Q1283" s="499"/>
    </row>
    <row r="1284" spans="1:17" ht="14.4" x14ac:dyDescent="0.3">
      <c r="A1284" s="502">
        <v>4074041</v>
      </c>
      <c r="B1284" s="503" t="s">
        <v>577</v>
      </c>
      <c r="C1284" s="514">
        <v>82398</v>
      </c>
      <c r="D1284" s="514">
        <v>82398</v>
      </c>
      <c r="E1284" s="514">
        <v>82398</v>
      </c>
      <c r="F1284" s="514">
        <v>82398</v>
      </c>
      <c r="G1284" s="514">
        <v>82398</v>
      </c>
      <c r="H1284" s="514">
        <v>82398</v>
      </c>
      <c r="I1284" s="514">
        <v>82398</v>
      </c>
      <c r="J1284" s="514">
        <v>82398</v>
      </c>
      <c r="K1284" s="514">
        <v>82398</v>
      </c>
      <c r="L1284" s="514">
        <v>82398</v>
      </c>
      <c r="M1284" s="514">
        <v>82398</v>
      </c>
      <c r="N1284" s="514">
        <v>82398</v>
      </c>
      <c r="O1284" s="499"/>
      <c r="P1284" s="499"/>
      <c r="Q1284" s="499"/>
    </row>
    <row r="1285" spans="1:17" ht="14.4" x14ac:dyDescent="0.3">
      <c r="A1285" s="502">
        <v>4074050</v>
      </c>
      <c r="B1285" s="503" t="s">
        <v>726</v>
      </c>
      <c r="C1285" s="514">
        <v>66514</v>
      </c>
      <c r="D1285" s="514">
        <v>131982</v>
      </c>
      <c r="E1285" s="514">
        <v>137423</v>
      </c>
      <c r="F1285" s="514">
        <v>86741</v>
      </c>
      <c r="G1285" s="514">
        <v>0</v>
      </c>
      <c r="H1285" s="514">
        <v>0</v>
      </c>
      <c r="I1285" s="514">
        <v>0</v>
      </c>
      <c r="J1285" s="514">
        <v>0</v>
      </c>
      <c r="K1285" s="514">
        <v>0</v>
      </c>
      <c r="L1285" s="514">
        <v>0</v>
      </c>
      <c r="M1285" s="514">
        <v>0</v>
      </c>
      <c r="N1285" s="514">
        <v>19175</v>
      </c>
      <c r="O1285" s="499"/>
      <c r="P1285" s="499"/>
      <c r="Q1285" s="499"/>
    </row>
    <row r="1286" spans="1:17" ht="14.4" x14ac:dyDescent="0.3">
      <c r="A1286" s="502">
        <v>4074051</v>
      </c>
      <c r="B1286" s="503" t="s">
        <v>579</v>
      </c>
      <c r="C1286" s="514">
        <v>365614</v>
      </c>
      <c r="D1286" s="514">
        <v>365614</v>
      </c>
      <c r="E1286" s="514">
        <v>365614</v>
      </c>
      <c r="F1286" s="514">
        <v>365614</v>
      </c>
      <c r="G1286" s="514">
        <v>365614</v>
      </c>
      <c r="H1286" s="514">
        <v>365614</v>
      </c>
      <c r="I1286" s="514">
        <v>365614</v>
      </c>
      <c r="J1286" s="514">
        <v>365614</v>
      </c>
      <c r="K1286" s="514">
        <v>365614</v>
      </c>
      <c r="L1286" s="514">
        <v>365614</v>
      </c>
      <c r="M1286" s="514">
        <v>365614</v>
      </c>
      <c r="N1286" s="514">
        <v>365618</v>
      </c>
      <c r="O1286" s="499"/>
      <c r="P1286" s="499"/>
      <c r="Q1286" s="499"/>
    </row>
    <row r="1287" spans="1:17" ht="14.4" x14ac:dyDescent="0.3">
      <c r="A1287" s="502">
        <v>4074060</v>
      </c>
      <c r="B1287" s="503" t="s">
        <v>3047</v>
      </c>
      <c r="C1287" s="514">
        <v>0</v>
      </c>
      <c r="D1287" s="514">
        <v>0</v>
      </c>
      <c r="E1287" s="514">
        <v>0</v>
      </c>
      <c r="F1287" s="514">
        <v>0</v>
      </c>
      <c r="G1287" s="514">
        <v>0</v>
      </c>
      <c r="H1287" s="514">
        <v>0</v>
      </c>
      <c r="I1287" s="514">
        <v>0</v>
      </c>
      <c r="J1287" s="514">
        <v>0</v>
      </c>
      <c r="K1287" s="514">
        <v>0</v>
      </c>
      <c r="L1287" s="514">
        <v>0</v>
      </c>
      <c r="M1287" s="514">
        <v>0</v>
      </c>
      <c r="N1287" s="514">
        <v>0</v>
      </c>
      <c r="O1287" s="499"/>
      <c r="P1287" s="499"/>
      <c r="Q1287" s="499"/>
    </row>
    <row r="1288" spans="1:17" ht="14.4" x14ac:dyDescent="0.3">
      <c r="A1288" s="502">
        <v>4074061</v>
      </c>
      <c r="B1288" s="503" t="s">
        <v>3048</v>
      </c>
      <c r="C1288" s="514">
        <v>0</v>
      </c>
      <c r="D1288" s="514">
        <v>0</v>
      </c>
      <c r="E1288" s="514">
        <v>0</v>
      </c>
      <c r="F1288" s="514">
        <v>0</v>
      </c>
      <c r="G1288" s="514">
        <v>0</v>
      </c>
      <c r="H1288" s="514">
        <v>0</v>
      </c>
      <c r="I1288" s="514">
        <v>0</v>
      </c>
      <c r="J1288" s="514">
        <v>0</v>
      </c>
      <c r="K1288" s="514">
        <v>0</v>
      </c>
      <c r="L1288" s="514">
        <v>0</v>
      </c>
      <c r="M1288" s="514">
        <v>0</v>
      </c>
      <c r="N1288" s="514">
        <v>0</v>
      </c>
      <c r="O1288" s="499"/>
      <c r="P1288" s="499"/>
      <c r="Q1288" s="499"/>
    </row>
    <row r="1289" spans="1:17" ht="14.4" x14ac:dyDescent="0.3">
      <c r="A1289" s="502">
        <v>4074071</v>
      </c>
      <c r="B1289" s="503" t="s">
        <v>3049</v>
      </c>
      <c r="C1289" s="514">
        <v>0</v>
      </c>
      <c r="D1289" s="514">
        <v>0</v>
      </c>
      <c r="E1289" s="514">
        <v>0</v>
      </c>
      <c r="F1289" s="514">
        <v>0</v>
      </c>
      <c r="G1289" s="514">
        <v>0</v>
      </c>
      <c r="H1289" s="514">
        <v>0</v>
      </c>
      <c r="I1289" s="514">
        <v>0</v>
      </c>
      <c r="J1289" s="514">
        <v>0</v>
      </c>
      <c r="K1289" s="514">
        <v>0</v>
      </c>
      <c r="L1289" s="514">
        <v>0</v>
      </c>
      <c r="M1289" s="514">
        <v>0</v>
      </c>
      <c r="N1289" s="514">
        <v>0</v>
      </c>
      <c r="O1289" s="499"/>
      <c r="P1289" s="499"/>
      <c r="Q1289" s="499"/>
    </row>
    <row r="1290" spans="1:17" ht="14.4" x14ac:dyDescent="0.3">
      <c r="A1290" s="502">
        <v>4074072</v>
      </c>
      <c r="B1290" s="503" t="s">
        <v>3050</v>
      </c>
      <c r="C1290" s="514">
        <v>0</v>
      </c>
      <c r="D1290" s="514">
        <v>0</v>
      </c>
      <c r="E1290" s="514">
        <v>0</v>
      </c>
      <c r="F1290" s="514">
        <v>0</v>
      </c>
      <c r="G1290" s="514">
        <v>0</v>
      </c>
      <c r="H1290" s="514">
        <v>0</v>
      </c>
      <c r="I1290" s="514">
        <v>0</v>
      </c>
      <c r="J1290" s="514">
        <v>0</v>
      </c>
      <c r="K1290" s="514">
        <v>0</v>
      </c>
      <c r="L1290" s="514">
        <v>0</v>
      </c>
      <c r="M1290" s="514">
        <v>0</v>
      </c>
      <c r="N1290" s="514">
        <v>0</v>
      </c>
      <c r="O1290" s="499"/>
      <c r="P1290" s="499"/>
      <c r="Q1290" s="499"/>
    </row>
    <row r="1291" spans="1:17" ht="14.4" x14ac:dyDescent="0.3">
      <c r="A1291" s="502">
        <v>4074075</v>
      </c>
      <c r="B1291" s="503" t="s">
        <v>3051</v>
      </c>
      <c r="C1291" s="514">
        <v>0</v>
      </c>
      <c r="D1291" s="514">
        <v>0</v>
      </c>
      <c r="E1291" s="514">
        <v>0</v>
      </c>
      <c r="F1291" s="514">
        <v>0</v>
      </c>
      <c r="G1291" s="514">
        <v>0</v>
      </c>
      <c r="H1291" s="514">
        <v>0</v>
      </c>
      <c r="I1291" s="514">
        <v>0</v>
      </c>
      <c r="J1291" s="514">
        <v>0</v>
      </c>
      <c r="K1291" s="514">
        <v>0</v>
      </c>
      <c r="L1291" s="514">
        <v>0</v>
      </c>
      <c r="M1291" s="514">
        <v>0</v>
      </c>
      <c r="N1291" s="514">
        <v>0</v>
      </c>
      <c r="O1291" s="499"/>
      <c r="P1291" s="499"/>
      <c r="Q1291" s="499"/>
    </row>
    <row r="1292" spans="1:17" ht="14.4" x14ac:dyDescent="0.3">
      <c r="A1292" s="504">
        <v>4074076</v>
      </c>
      <c r="B1292" s="505" t="s">
        <v>3052</v>
      </c>
      <c r="C1292" s="514">
        <v>0</v>
      </c>
      <c r="D1292" s="514">
        <v>0</v>
      </c>
      <c r="E1292" s="514">
        <v>0</v>
      </c>
      <c r="F1292" s="514">
        <v>0</v>
      </c>
      <c r="G1292" s="514">
        <v>0</v>
      </c>
      <c r="H1292" s="514">
        <v>0</v>
      </c>
      <c r="I1292" s="514">
        <v>0</v>
      </c>
      <c r="J1292" s="514">
        <v>0</v>
      </c>
      <c r="K1292" s="514">
        <v>0</v>
      </c>
      <c r="L1292" s="514">
        <v>0</v>
      </c>
      <c r="M1292" s="514">
        <v>0</v>
      </c>
      <c r="N1292" s="514">
        <v>0</v>
      </c>
      <c r="O1292" s="499"/>
      <c r="P1292" s="499"/>
      <c r="Q1292" s="499"/>
    </row>
    <row r="1293" spans="1:17" ht="14.4" x14ac:dyDescent="0.3">
      <c r="A1293" s="502">
        <v>4074090</v>
      </c>
      <c r="B1293" s="503" t="s">
        <v>728</v>
      </c>
      <c r="C1293" s="514">
        <v>968861</v>
      </c>
      <c r="D1293" s="514">
        <v>1630801</v>
      </c>
      <c r="E1293" s="514">
        <v>2094007</v>
      </c>
      <c r="F1293" s="514">
        <v>1839729</v>
      </c>
      <c r="G1293" s="514">
        <v>941592</v>
      </c>
      <c r="H1293" s="514">
        <v>0</v>
      </c>
      <c r="I1293" s="514">
        <v>0</v>
      </c>
      <c r="J1293" s="514">
        <v>0</v>
      </c>
      <c r="K1293" s="514">
        <v>0</v>
      </c>
      <c r="L1293" s="514">
        <v>280729</v>
      </c>
      <c r="M1293" s="514">
        <v>1937475</v>
      </c>
      <c r="N1293" s="514">
        <v>2514307</v>
      </c>
      <c r="O1293" s="499"/>
      <c r="P1293" s="499"/>
      <c r="Q1293" s="499"/>
    </row>
    <row r="1294" spans="1:17" ht="14.4" x14ac:dyDescent="0.3">
      <c r="A1294" s="502">
        <v>4074091</v>
      </c>
      <c r="B1294" s="503" t="s">
        <v>581</v>
      </c>
      <c r="C1294" s="514">
        <v>0</v>
      </c>
      <c r="D1294" s="514">
        <v>0</v>
      </c>
      <c r="E1294" s="514">
        <v>0</v>
      </c>
      <c r="F1294" s="514">
        <v>0</v>
      </c>
      <c r="G1294" s="514">
        <v>0</v>
      </c>
      <c r="H1294" s="514">
        <v>0</v>
      </c>
      <c r="I1294" s="514">
        <v>0</v>
      </c>
      <c r="J1294" s="514">
        <v>0</v>
      </c>
      <c r="K1294" s="514">
        <v>0</v>
      </c>
      <c r="L1294" s="514">
        <v>0</v>
      </c>
      <c r="M1294" s="514">
        <v>0</v>
      </c>
      <c r="N1294" s="514">
        <v>0</v>
      </c>
      <c r="O1294" s="499"/>
      <c r="P1294" s="499"/>
      <c r="Q1294" s="499"/>
    </row>
    <row r="1295" spans="1:17" ht="14.4" x14ac:dyDescent="0.3">
      <c r="A1295" s="502">
        <v>4074140</v>
      </c>
      <c r="B1295" s="503" t="s">
        <v>3053</v>
      </c>
      <c r="C1295" s="514">
        <v>0</v>
      </c>
      <c r="D1295" s="514">
        <v>0</v>
      </c>
      <c r="E1295" s="514">
        <v>0</v>
      </c>
      <c r="F1295" s="514">
        <v>0</v>
      </c>
      <c r="G1295" s="514">
        <v>0</v>
      </c>
      <c r="H1295" s="514">
        <v>0</v>
      </c>
      <c r="I1295" s="514">
        <v>0</v>
      </c>
      <c r="J1295" s="514">
        <v>0</v>
      </c>
      <c r="K1295" s="514">
        <v>0</v>
      </c>
      <c r="L1295" s="514">
        <v>0</v>
      </c>
      <c r="M1295" s="514">
        <v>0</v>
      </c>
      <c r="N1295" s="514">
        <v>0</v>
      </c>
      <c r="O1295" s="499"/>
      <c r="P1295" s="499"/>
      <c r="Q1295" s="499"/>
    </row>
    <row r="1296" spans="1:17" ht="14.4" x14ac:dyDescent="0.3">
      <c r="A1296" s="502">
        <v>4074141</v>
      </c>
      <c r="B1296" s="503" t="s">
        <v>3054</v>
      </c>
      <c r="C1296" s="514">
        <v>0</v>
      </c>
      <c r="D1296" s="514">
        <v>0</v>
      </c>
      <c r="E1296" s="514">
        <v>0</v>
      </c>
      <c r="F1296" s="514">
        <v>0</v>
      </c>
      <c r="G1296" s="514">
        <v>0</v>
      </c>
      <c r="H1296" s="514">
        <v>0</v>
      </c>
      <c r="I1296" s="514">
        <v>0</v>
      </c>
      <c r="J1296" s="514">
        <v>0</v>
      </c>
      <c r="K1296" s="514">
        <v>0</v>
      </c>
      <c r="L1296" s="514">
        <v>0</v>
      </c>
      <c r="M1296" s="514">
        <v>0</v>
      </c>
      <c r="N1296" s="514">
        <v>0</v>
      </c>
      <c r="O1296" s="499"/>
      <c r="P1296" s="499"/>
      <c r="Q1296" s="499"/>
    </row>
    <row r="1297" spans="1:17" ht="14.4" x14ac:dyDescent="0.3">
      <c r="A1297" s="502">
        <v>4074200</v>
      </c>
      <c r="B1297" s="503" t="s">
        <v>3055</v>
      </c>
      <c r="C1297" s="514">
        <v>0</v>
      </c>
      <c r="D1297" s="514">
        <v>0</v>
      </c>
      <c r="E1297" s="514">
        <v>0</v>
      </c>
      <c r="F1297" s="514">
        <v>0</v>
      </c>
      <c r="G1297" s="514">
        <v>0</v>
      </c>
      <c r="H1297" s="514">
        <v>0</v>
      </c>
      <c r="I1297" s="514">
        <v>0</v>
      </c>
      <c r="J1297" s="514">
        <v>0</v>
      </c>
      <c r="K1297" s="514">
        <v>0</v>
      </c>
      <c r="L1297" s="514">
        <v>0</v>
      </c>
      <c r="M1297" s="514">
        <v>0</v>
      </c>
      <c r="N1297" s="514">
        <v>0</v>
      </c>
      <c r="O1297" s="499"/>
      <c r="P1297" s="499"/>
      <c r="Q1297" s="499"/>
    </row>
    <row r="1298" spans="1:17" ht="14.4" x14ac:dyDescent="0.3">
      <c r="A1298" s="502">
        <v>4074211</v>
      </c>
      <c r="B1298" s="503" t="s">
        <v>730</v>
      </c>
      <c r="C1298" s="514">
        <v>198</v>
      </c>
      <c r="D1298" s="514">
        <v>198</v>
      </c>
      <c r="E1298" s="514">
        <v>198</v>
      </c>
      <c r="F1298" s="514">
        <v>198</v>
      </c>
      <c r="G1298" s="514">
        <v>198</v>
      </c>
      <c r="H1298" s="514">
        <v>198</v>
      </c>
      <c r="I1298" s="514">
        <v>198</v>
      </c>
      <c r="J1298" s="514">
        <v>198</v>
      </c>
      <c r="K1298" s="514">
        <v>198</v>
      </c>
      <c r="L1298" s="514">
        <v>198</v>
      </c>
      <c r="M1298" s="514">
        <v>198</v>
      </c>
      <c r="N1298" s="514">
        <v>198</v>
      </c>
      <c r="O1298" s="499"/>
      <c r="P1298" s="499"/>
      <c r="Q1298" s="499"/>
    </row>
    <row r="1299" spans="1:17" ht="14.4" x14ac:dyDescent="0.3">
      <c r="A1299" s="502">
        <v>4074212</v>
      </c>
      <c r="B1299" s="503" t="s">
        <v>3056</v>
      </c>
      <c r="C1299" s="514">
        <v>0</v>
      </c>
      <c r="D1299" s="514">
        <v>0</v>
      </c>
      <c r="E1299" s="514">
        <v>0</v>
      </c>
      <c r="F1299" s="514">
        <v>0</v>
      </c>
      <c r="G1299" s="514">
        <v>0</v>
      </c>
      <c r="H1299" s="514">
        <v>0</v>
      </c>
      <c r="I1299" s="514">
        <v>0</v>
      </c>
      <c r="J1299" s="514">
        <v>0</v>
      </c>
      <c r="K1299" s="514">
        <v>0</v>
      </c>
      <c r="L1299" s="514">
        <v>0</v>
      </c>
      <c r="M1299" s="514">
        <v>0</v>
      </c>
      <c r="N1299" s="514">
        <v>0</v>
      </c>
      <c r="O1299" s="499"/>
      <c r="P1299" s="499"/>
      <c r="Q1299" s="499"/>
    </row>
    <row r="1300" spans="1:17" ht="14.4" x14ac:dyDescent="0.3">
      <c r="A1300" s="502">
        <v>4118010</v>
      </c>
      <c r="B1300" s="503" t="s">
        <v>679</v>
      </c>
      <c r="C1300" s="514">
        <v>0</v>
      </c>
      <c r="D1300" s="514">
        <v>0</v>
      </c>
      <c r="E1300" s="514">
        <v>0</v>
      </c>
      <c r="F1300" s="514">
        <v>0</v>
      </c>
      <c r="G1300" s="514">
        <v>0</v>
      </c>
      <c r="H1300" s="514">
        <v>0</v>
      </c>
      <c r="I1300" s="514">
        <v>0</v>
      </c>
      <c r="J1300" s="514">
        <v>0</v>
      </c>
      <c r="K1300" s="514">
        <v>0</v>
      </c>
      <c r="L1300" s="514">
        <v>0</v>
      </c>
      <c r="M1300" s="514">
        <v>0</v>
      </c>
      <c r="N1300" s="514">
        <v>0</v>
      </c>
      <c r="O1300" s="499"/>
      <c r="P1300" s="499"/>
      <c r="Q1300" s="499"/>
    </row>
    <row r="1301" spans="1:17" ht="14.4" x14ac:dyDescent="0.3">
      <c r="A1301" s="502">
        <v>4118011</v>
      </c>
      <c r="B1301" s="503" t="s">
        <v>3057</v>
      </c>
      <c r="C1301" s="514">
        <v>0</v>
      </c>
      <c r="D1301" s="514">
        <v>0</v>
      </c>
      <c r="E1301" s="514">
        <v>0</v>
      </c>
      <c r="F1301" s="514">
        <v>0</v>
      </c>
      <c r="G1301" s="514">
        <v>0</v>
      </c>
      <c r="H1301" s="514">
        <v>0</v>
      </c>
      <c r="I1301" s="514">
        <v>0</v>
      </c>
      <c r="J1301" s="514">
        <v>0</v>
      </c>
      <c r="K1301" s="514">
        <v>0</v>
      </c>
      <c r="L1301" s="514">
        <v>0</v>
      </c>
      <c r="M1301" s="514">
        <v>0</v>
      </c>
      <c r="N1301" s="514">
        <v>0</v>
      </c>
      <c r="O1301" s="499"/>
      <c r="P1301" s="499"/>
      <c r="Q1301" s="499"/>
    </row>
    <row r="1302" spans="1:17" ht="14.4" x14ac:dyDescent="0.3">
      <c r="A1302" s="504">
        <v>4118020</v>
      </c>
      <c r="B1302" s="505" t="s">
        <v>3058</v>
      </c>
      <c r="C1302" s="514">
        <v>0</v>
      </c>
      <c r="D1302" s="514">
        <v>0</v>
      </c>
      <c r="E1302" s="514">
        <v>0</v>
      </c>
      <c r="F1302" s="514">
        <v>0</v>
      </c>
      <c r="G1302" s="514">
        <v>0</v>
      </c>
      <c r="H1302" s="514">
        <v>0</v>
      </c>
      <c r="I1302" s="514">
        <v>0</v>
      </c>
      <c r="J1302" s="514">
        <v>0</v>
      </c>
      <c r="K1302" s="514">
        <v>0</v>
      </c>
      <c r="L1302" s="514">
        <v>0</v>
      </c>
      <c r="M1302" s="514">
        <v>0</v>
      </c>
      <c r="N1302" s="514">
        <v>0</v>
      </c>
      <c r="O1302" s="499"/>
      <c r="P1302" s="499"/>
      <c r="Q1302" s="499"/>
    </row>
    <row r="1303" spans="1:17" ht="14.4" x14ac:dyDescent="0.3">
      <c r="A1303" s="502">
        <v>4118021</v>
      </c>
      <c r="B1303" s="503" t="s">
        <v>3059</v>
      </c>
      <c r="C1303" s="514">
        <v>0</v>
      </c>
      <c r="D1303" s="514">
        <v>0</v>
      </c>
      <c r="E1303" s="514">
        <v>0</v>
      </c>
      <c r="F1303" s="514">
        <v>0</v>
      </c>
      <c r="G1303" s="514">
        <v>0</v>
      </c>
      <c r="H1303" s="514">
        <v>0</v>
      </c>
      <c r="I1303" s="514">
        <v>0</v>
      </c>
      <c r="J1303" s="514">
        <v>0</v>
      </c>
      <c r="K1303" s="514">
        <v>0</v>
      </c>
      <c r="L1303" s="514">
        <v>0</v>
      </c>
      <c r="M1303" s="514">
        <v>0</v>
      </c>
      <c r="N1303" s="514">
        <v>0</v>
      </c>
      <c r="O1303" s="499"/>
      <c r="P1303" s="499"/>
      <c r="Q1303" s="499"/>
    </row>
    <row r="1304" spans="1:17" ht="14.4" x14ac:dyDescent="0.3">
      <c r="A1304" s="502">
        <v>4118030</v>
      </c>
      <c r="B1304" s="503" t="s">
        <v>681</v>
      </c>
      <c r="C1304" s="514">
        <v>303440</v>
      </c>
      <c r="D1304" s="514">
        <v>283864</v>
      </c>
      <c r="E1304" s="514">
        <v>303440</v>
      </c>
      <c r="F1304" s="514">
        <v>293652</v>
      </c>
      <c r="G1304" s="514">
        <v>303440</v>
      </c>
      <c r="H1304" s="514">
        <v>293652</v>
      </c>
      <c r="I1304" s="514">
        <v>303440</v>
      </c>
      <c r="J1304" s="514">
        <v>303440</v>
      </c>
      <c r="K1304" s="514">
        <v>293652</v>
      </c>
      <c r="L1304" s="514">
        <v>303440</v>
      </c>
      <c r="M1304" s="514">
        <v>293652</v>
      </c>
      <c r="N1304" s="514">
        <v>303442</v>
      </c>
      <c r="O1304" s="499"/>
      <c r="P1304" s="499"/>
      <c r="Q1304" s="499"/>
    </row>
    <row r="1305" spans="1:17" ht="14.4" x14ac:dyDescent="0.3">
      <c r="A1305" s="502">
        <v>4118031</v>
      </c>
      <c r="B1305" s="503" t="s">
        <v>3060</v>
      </c>
      <c r="C1305" s="514">
        <v>0</v>
      </c>
      <c r="D1305" s="514">
        <v>0</v>
      </c>
      <c r="E1305" s="514">
        <v>0</v>
      </c>
      <c r="F1305" s="514">
        <v>0</v>
      </c>
      <c r="G1305" s="514">
        <v>0</v>
      </c>
      <c r="H1305" s="514">
        <v>0</v>
      </c>
      <c r="I1305" s="514">
        <v>0</v>
      </c>
      <c r="J1305" s="514">
        <v>0</v>
      </c>
      <c r="K1305" s="514">
        <v>0</v>
      </c>
      <c r="L1305" s="514">
        <v>0</v>
      </c>
      <c r="M1305" s="514">
        <v>0</v>
      </c>
      <c r="N1305" s="514">
        <v>0</v>
      </c>
      <c r="O1305" s="499"/>
      <c r="P1305" s="499"/>
      <c r="Q1305" s="499"/>
    </row>
    <row r="1306" spans="1:17" ht="14.4" x14ac:dyDescent="0.3">
      <c r="A1306" s="502">
        <v>4118040</v>
      </c>
      <c r="B1306" s="503" t="s">
        <v>3061</v>
      </c>
      <c r="C1306" s="514">
        <v>0</v>
      </c>
      <c r="D1306" s="514">
        <v>0</v>
      </c>
      <c r="E1306" s="514">
        <v>0</v>
      </c>
      <c r="F1306" s="514">
        <v>0</v>
      </c>
      <c r="G1306" s="514">
        <v>0</v>
      </c>
      <c r="H1306" s="514">
        <v>0</v>
      </c>
      <c r="I1306" s="514">
        <v>0</v>
      </c>
      <c r="J1306" s="514">
        <v>0</v>
      </c>
      <c r="K1306" s="514">
        <v>0</v>
      </c>
      <c r="L1306" s="514">
        <v>0</v>
      </c>
      <c r="M1306" s="514">
        <v>0</v>
      </c>
      <c r="N1306" s="514">
        <v>0</v>
      </c>
      <c r="O1306" s="499"/>
      <c r="P1306" s="499"/>
      <c r="Q1306" s="499"/>
    </row>
    <row r="1307" spans="1:17" ht="14.4" x14ac:dyDescent="0.3">
      <c r="A1307" s="502">
        <v>4118050</v>
      </c>
      <c r="B1307" s="503" t="s">
        <v>3062</v>
      </c>
      <c r="C1307" s="514">
        <v>0</v>
      </c>
      <c r="D1307" s="514">
        <v>0</v>
      </c>
      <c r="E1307" s="514">
        <v>0</v>
      </c>
      <c r="F1307" s="514">
        <v>0</v>
      </c>
      <c r="G1307" s="514">
        <v>0</v>
      </c>
      <c r="H1307" s="514">
        <v>0</v>
      </c>
      <c r="I1307" s="514">
        <v>0</v>
      </c>
      <c r="J1307" s="514">
        <v>0</v>
      </c>
      <c r="K1307" s="514">
        <v>0</v>
      </c>
      <c r="L1307" s="514">
        <v>0</v>
      </c>
      <c r="M1307" s="514">
        <v>0</v>
      </c>
      <c r="N1307" s="514">
        <v>0</v>
      </c>
      <c r="O1307" s="499"/>
      <c r="P1307" s="499"/>
      <c r="Q1307" s="499"/>
    </row>
    <row r="1308" spans="1:17" ht="14.4" x14ac:dyDescent="0.3">
      <c r="A1308" s="502">
        <v>4118060</v>
      </c>
      <c r="B1308" s="503" t="s">
        <v>3063</v>
      </c>
      <c r="C1308" s="514">
        <v>0</v>
      </c>
      <c r="D1308" s="514">
        <v>0</v>
      </c>
      <c r="E1308" s="514">
        <v>0</v>
      </c>
      <c r="F1308" s="514">
        <v>0</v>
      </c>
      <c r="G1308" s="514">
        <v>0</v>
      </c>
      <c r="H1308" s="514">
        <v>0</v>
      </c>
      <c r="I1308" s="514">
        <v>0</v>
      </c>
      <c r="J1308" s="514">
        <v>0</v>
      </c>
      <c r="K1308" s="514">
        <v>0</v>
      </c>
      <c r="L1308" s="514">
        <v>0</v>
      </c>
      <c r="M1308" s="514">
        <v>0</v>
      </c>
      <c r="N1308" s="514">
        <v>0</v>
      </c>
      <c r="O1308" s="499"/>
      <c r="P1308" s="499"/>
      <c r="Q1308" s="499"/>
    </row>
    <row r="1309" spans="1:17" ht="14.4" x14ac:dyDescent="0.3">
      <c r="A1309" s="502">
        <v>4119030</v>
      </c>
      <c r="B1309" s="503" t="s">
        <v>3064</v>
      </c>
      <c r="C1309" s="514">
        <v>0</v>
      </c>
      <c r="D1309" s="514">
        <v>0</v>
      </c>
      <c r="E1309" s="514">
        <v>0</v>
      </c>
      <c r="F1309" s="514">
        <v>0</v>
      </c>
      <c r="G1309" s="514">
        <v>0</v>
      </c>
      <c r="H1309" s="514">
        <v>0</v>
      </c>
      <c r="I1309" s="514">
        <v>0</v>
      </c>
      <c r="J1309" s="514">
        <v>0</v>
      </c>
      <c r="K1309" s="514">
        <v>0</v>
      </c>
      <c r="L1309" s="514">
        <v>0</v>
      </c>
      <c r="M1309" s="514">
        <v>0</v>
      </c>
      <c r="N1309" s="514">
        <v>0</v>
      </c>
      <c r="O1309" s="499"/>
      <c r="P1309" s="499"/>
      <c r="Q1309" s="499"/>
    </row>
    <row r="1310" spans="1:17" ht="14.4" x14ac:dyDescent="0.3">
      <c r="A1310" s="502">
        <v>4119040</v>
      </c>
      <c r="B1310" s="503" t="s">
        <v>3065</v>
      </c>
      <c r="C1310" s="514">
        <v>0</v>
      </c>
      <c r="D1310" s="514">
        <v>0</v>
      </c>
      <c r="E1310" s="514">
        <v>0</v>
      </c>
      <c r="F1310" s="514">
        <v>0</v>
      </c>
      <c r="G1310" s="514">
        <v>0</v>
      </c>
      <c r="H1310" s="514">
        <v>0</v>
      </c>
      <c r="I1310" s="514">
        <v>0</v>
      </c>
      <c r="J1310" s="514">
        <v>0</v>
      </c>
      <c r="K1310" s="514">
        <v>0</v>
      </c>
      <c r="L1310" s="514">
        <v>0</v>
      </c>
      <c r="M1310" s="514">
        <v>0</v>
      </c>
      <c r="N1310" s="514">
        <v>0</v>
      </c>
      <c r="O1310" s="499"/>
      <c r="P1310" s="499"/>
      <c r="Q1310" s="499"/>
    </row>
    <row r="1311" spans="1:17" ht="14.4" x14ac:dyDescent="0.3">
      <c r="A1311" s="502">
        <v>4120000</v>
      </c>
      <c r="B1311" s="503" t="s">
        <v>3066</v>
      </c>
      <c r="C1311" s="514">
        <v>0</v>
      </c>
      <c r="D1311" s="514">
        <v>0</v>
      </c>
      <c r="E1311" s="514">
        <v>0</v>
      </c>
      <c r="F1311" s="514">
        <v>0</v>
      </c>
      <c r="G1311" s="514">
        <v>0</v>
      </c>
      <c r="H1311" s="514">
        <v>0</v>
      </c>
      <c r="I1311" s="514">
        <v>0</v>
      </c>
      <c r="J1311" s="514">
        <v>0</v>
      </c>
      <c r="K1311" s="514">
        <v>0</v>
      </c>
      <c r="L1311" s="514">
        <v>0</v>
      </c>
      <c r="M1311" s="514">
        <v>0</v>
      </c>
      <c r="N1311" s="514">
        <v>0</v>
      </c>
      <c r="O1311" s="499"/>
      <c r="P1311" s="499"/>
      <c r="Q1311" s="499"/>
    </row>
    <row r="1312" spans="1:17" ht="14.4" x14ac:dyDescent="0.3">
      <c r="A1312" s="504">
        <v>4120001</v>
      </c>
      <c r="B1312" s="505" t="s">
        <v>3067</v>
      </c>
      <c r="C1312" s="514">
        <v>0</v>
      </c>
      <c r="D1312" s="514">
        <v>0</v>
      </c>
      <c r="E1312" s="514">
        <v>0</v>
      </c>
      <c r="F1312" s="514">
        <v>0</v>
      </c>
      <c r="G1312" s="514">
        <v>0</v>
      </c>
      <c r="H1312" s="514">
        <v>0</v>
      </c>
      <c r="I1312" s="514">
        <v>0</v>
      </c>
      <c r="J1312" s="514">
        <v>0</v>
      </c>
      <c r="K1312" s="514">
        <v>0</v>
      </c>
      <c r="L1312" s="514">
        <v>0</v>
      </c>
      <c r="M1312" s="514">
        <v>0</v>
      </c>
      <c r="N1312" s="514">
        <v>0</v>
      </c>
      <c r="O1312" s="499"/>
      <c r="P1312" s="499"/>
      <c r="Q1312" s="499"/>
    </row>
    <row r="1313" spans="1:17" ht="14.4" x14ac:dyDescent="0.3">
      <c r="A1313" s="502">
        <v>4120002</v>
      </c>
      <c r="B1313" s="503" t="s">
        <v>3068</v>
      </c>
      <c r="C1313" s="514">
        <v>0</v>
      </c>
      <c r="D1313" s="514">
        <v>0</v>
      </c>
      <c r="E1313" s="514">
        <v>0</v>
      </c>
      <c r="F1313" s="514">
        <v>0</v>
      </c>
      <c r="G1313" s="514">
        <v>0</v>
      </c>
      <c r="H1313" s="514">
        <v>0</v>
      </c>
      <c r="I1313" s="514">
        <v>0</v>
      </c>
      <c r="J1313" s="514">
        <v>0</v>
      </c>
      <c r="K1313" s="514">
        <v>0</v>
      </c>
      <c r="L1313" s="514">
        <v>0</v>
      </c>
      <c r="M1313" s="514">
        <v>0</v>
      </c>
      <c r="N1313" s="514">
        <v>0</v>
      </c>
      <c r="O1313" s="499"/>
      <c r="P1313" s="499"/>
      <c r="Q1313" s="499"/>
    </row>
    <row r="1314" spans="1:17" ht="14.4" x14ac:dyDescent="0.3">
      <c r="A1314" s="502">
        <v>4400010</v>
      </c>
      <c r="B1314" s="503" t="s">
        <v>349</v>
      </c>
      <c r="C1314" s="514">
        <v>71593312</v>
      </c>
      <c r="D1314" s="514">
        <v>65243236</v>
      </c>
      <c r="E1314" s="514">
        <v>61485500</v>
      </c>
      <c r="F1314" s="514">
        <v>64804711</v>
      </c>
      <c r="G1314" s="514">
        <v>73531099</v>
      </c>
      <c r="H1314" s="514">
        <v>88195723</v>
      </c>
      <c r="I1314" s="514">
        <v>93808345</v>
      </c>
      <c r="J1314" s="514">
        <v>92592355</v>
      </c>
      <c r="K1314" s="514">
        <v>96094876</v>
      </c>
      <c r="L1314" s="514">
        <v>83382114</v>
      </c>
      <c r="M1314" s="514">
        <v>68934813</v>
      </c>
      <c r="N1314" s="514">
        <v>66211430</v>
      </c>
      <c r="O1314" s="499"/>
      <c r="P1314" s="499"/>
      <c r="Q1314" s="499"/>
    </row>
    <row r="1315" spans="1:17" ht="14.4" x14ac:dyDescent="0.3">
      <c r="A1315" s="502">
        <v>4400020</v>
      </c>
      <c r="B1315" s="503" t="s">
        <v>351</v>
      </c>
      <c r="C1315" s="514">
        <v>26248382</v>
      </c>
      <c r="D1315" s="514">
        <v>23552631</v>
      </c>
      <c r="E1315" s="514">
        <v>21752127</v>
      </c>
      <c r="F1315" s="514">
        <v>23224745</v>
      </c>
      <c r="G1315" s="514">
        <v>27770580</v>
      </c>
      <c r="H1315" s="514">
        <v>35153717</v>
      </c>
      <c r="I1315" s="514">
        <v>37985183</v>
      </c>
      <c r="J1315" s="514">
        <v>37631041</v>
      </c>
      <c r="K1315" s="514">
        <v>38940526</v>
      </c>
      <c r="L1315" s="514">
        <v>32734450</v>
      </c>
      <c r="M1315" s="514">
        <v>25471065</v>
      </c>
      <c r="N1315" s="514">
        <v>23400736</v>
      </c>
      <c r="O1315" s="499"/>
      <c r="P1315" s="499"/>
      <c r="Q1315" s="499"/>
    </row>
    <row r="1316" spans="1:17" ht="14.4" x14ac:dyDescent="0.3">
      <c r="A1316" s="502">
        <v>4400030</v>
      </c>
      <c r="B1316" s="503" t="s">
        <v>353</v>
      </c>
      <c r="C1316" s="514">
        <v>162972</v>
      </c>
      <c r="D1316" s="514">
        <v>148111</v>
      </c>
      <c r="E1316" s="514">
        <v>137714</v>
      </c>
      <c r="F1316" s="514">
        <v>145530</v>
      </c>
      <c r="G1316" s="514">
        <v>170554</v>
      </c>
      <c r="H1316" s="514">
        <v>210805</v>
      </c>
      <c r="I1316" s="514">
        <v>226109</v>
      </c>
      <c r="J1316" s="514">
        <v>224514</v>
      </c>
      <c r="K1316" s="514">
        <v>230963</v>
      </c>
      <c r="L1316" s="514">
        <v>198288</v>
      </c>
      <c r="M1316" s="514">
        <v>158631</v>
      </c>
      <c r="N1316" s="514">
        <v>147410</v>
      </c>
      <c r="O1316" s="499"/>
      <c r="P1316" s="499"/>
      <c r="Q1316" s="499"/>
    </row>
    <row r="1317" spans="1:17" ht="14.4" x14ac:dyDescent="0.3">
      <c r="A1317" s="502">
        <v>4400040</v>
      </c>
      <c r="B1317" s="503" t="s">
        <v>355</v>
      </c>
      <c r="C1317" s="514">
        <v>2803168</v>
      </c>
      <c r="D1317" s="514">
        <v>2547692</v>
      </c>
      <c r="E1317" s="514">
        <v>2368973</v>
      </c>
      <c r="F1317" s="514">
        <v>2503303</v>
      </c>
      <c r="G1317" s="514">
        <v>2933445</v>
      </c>
      <c r="H1317" s="514">
        <v>3625371</v>
      </c>
      <c r="I1317" s="514">
        <v>3888461</v>
      </c>
      <c r="J1317" s="514">
        <v>3861034</v>
      </c>
      <c r="K1317" s="514">
        <v>3971918</v>
      </c>
      <c r="L1317" s="514">
        <v>3410215</v>
      </c>
      <c r="M1317" s="514">
        <v>2728530</v>
      </c>
      <c r="N1317" s="514">
        <v>2535676</v>
      </c>
      <c r="O1317" s="499"/>
      <c r="P1317" s="499"/>
      <c r="Q1317" s="499"/>
    </row>
    <row r="1318" spans="1:17" ht="14.4" x14ac:dyDescent="0.3">
      <c r="A1318" s="502">
        <v>4400050</v>
      </c>
      <c r="B1318" s="503" t="s">
        <v>357</v>
      </c>
      <c r="C1318" s="514">
        <v>690930</v>
      </c>
      <c r="D1318" s="514">
        <v>627915</v>
      </c>
      <c r="E1318" s="514">
        <v>583884</v>
      </c>
      <c r="F1318" s="514">
        <v>617004</v>
      </c>
      <c r="G1318" s="514">
        <v>723040</v>
      </c>
      <c r="H1318" s="514">
        <v>893645</v>
      </c>
      <c r="I1318" s="514">
        <v>958513</v>
      </c>
      <c r="J1318" s="514">
        <v>951763</v>
      </c>
      <c r="K1318" s="514">
        <v>979098</v>
      </c>
      <c r="L1318" s="514">
        <v>840603</v>
      </c>
      <c r="M1318" s="514">
        <v>672533</v>
      </c>
      <c r="N1318" s="514">
        <v>624967</v>
      </c>
      <c r="O1318" s="499"/>
      <c r="P1318" s="499"/>
      <c r="Q1318" s="499"/>
    </row>
    <row r="1319" spans="1:17" ht="14.4" x14ac:dyDescent="0.3">
      <c r="A1319" s="502">
        <v>4400060</v>
      </c>
      <c r="B1319" s="503" t="s">
        <v>359</v>
      </c>
      <c r="C1319" s="514">
        <v>2279748.23</v>
      </c>
      <c r="D1319" s="514">
        <v>2072203.23</v>
      </c>
      <c r="E1319" s="514">
        <v>1936647.76</v>
      </c>
      <c r="F1319" s="514">
        <v>2045197.31</v>
      </c>
      <c r="G1319" s="514">
        <v>2366953.81</v>
      </c>
      <c r="H1319" s="514">
        <v>2901590.74</v>
      </c>
      <c r="I1319" s="514">
        <v>3102421.18</v>
      </c>
      <c r="J1319" s="514">
        <v>3069298.08</v>
      </c>
      <c r="K1319" s="514">
        <v>3179205.68</v>
      </c>
      <c r="L1319" s="514">
        <v>2734366.02</v>
      </c>
      <c r="M1319" s="514">
        <v>2213066.59</v>
      </c>
      <c r="N1319" s="514">
        <v>2085573.56</v>
      </c>
      <c r="O1319" s="499"/>
      <c r="P1319" s="499"/>
      <c r="Q1319" s="499"/>
    </row>
    <row r="1320" spans="1:17" ht="14.4" x14ac:dyDescent="0.3">
      <c r="A1320" s="502">
        <v>4400070</v>
      </c>
      <c r="B1320" s="503" t="s">
        <v>362</v>
      </c>
      <c r="C1320" s="514">
        <v>2782581.21</v>
      </c>
      <c r="D1320" s="514">
        <v>2520710.9</v>
      </c>
      <c r="E1320" s="514">
        <v>2357264.5699999998</v>
      </c>
      <c r="F1320" s="514">
        <v>2495856.89</v>
      </c>
      <c r="G1320" s="514">
        <v>2886537.87</v>
      </c>
      <c r="H1320" s="514">
        <v>3532900.93</v>
      </c>
      <c r="I1320" s="514">
        <v>3780227.88</v>
      </c>
      <c r="J1320" s="514">
        <v>3736759.01</v>
      </c>
      <c r="K1320" s="514">
        <v>3873134.35</v>
      </c>
      <c r="L1320" s="514">
        <v>3322247.72</v>
      </c>
      <c r="M1320" s="514">
        <v>2685736.13</v>
      </c>
      <c r="N1320" s="514">
        <v>2540246.1</v>
      </c>
      <c r="O1320" s="499"/>
      <c r="P1320" s="499"/>
      <c r="Q1320" s="499"/>
    </row>
    <row r="1321" spans="1:17" ht="14.4" x14ac:dyDescent="0.3">
      <c r="A1321" s="502">
        <v>4400090</v>
      </c>
      <c r="B1321" s="503" t="s">
        <v>364</v>
      </c>
      <c r="C1321" s="514">
        <v>5831200.6200000001</v>
      </c>
      <c r="D1321" s="514">
        <v>5301750.33</v>
      </c>
      <c r="E1321" s="514">
        <v>4931563.0599999996</v>
      </c>
      <c r="F1321" s="514">
        <v>5209549.8899999997</v>
      </c>
      <c r="G1321" s="514">
        <v>6100352.4100000001</v>
      </c>
      <c r="H1321" s="514">
        <v>7533837.8399999999</v>
      </c>
      <c r="I1321" s="514">
        <v>8078881.9100000001</v>
      </c>
      <c r="J1321" s="514">
        <v>8022165.4000000004</v>
      </c>
      <c r="K1321" s="514">
        <v>8252085.8700000001</v>
      </c>
      <c r="L1321" s="514">
        <v>7088238.5700000003</v>
      </c>
      <c r="M1321" s="514">
        <v>5676353.3700000001</v>
      </c>
      <c r="N1321" s="514">
        <v>5277369.62</v>
      </c>
      <c r="O1321" s="499"/>
      <c r="P1321" s="499"/>
      <c r="Q1321" s="499"/>
    </row>
    <row r="1322" spans="1:17" ht="14.4" x14ac:dyDescent="0.3">
      <c r="A1322" s="504">
        <v>4400091</v>
      </c>
      <c r="B1322" s="505" t="s">
        <v>366</v>
      </c>
      <c r="C1322" s="514">
        <v>3336523</v>
      </c>
      <c r="D1322" s="514">
        <v>3032206</v>
      </c>
      <c r="E1322" s="514">
        <v>2819370</v>
      </c>
      <c r="F1322" s="514">
        <v>2979398</v>
      </c>
      <c r="G1322" s="514">
        <v>3491749</v>
      </c>
      <c r="H1322" s="514">
        <v>4315911</v>
      </c>
      <c r="I1322" s="514">
        <v>4629281</v>
      </c>
      <c r="J1322" s="514">
        <v>4596619</v>
      </c>
      <c r="K1322" s="514">
        <v>4728671</v>
      </c>
      <c r="L1322" s="514">
        <v>4059634</v>
      </c>
      <c r="M1322" s="514">
        <v>3247647</v>
      </c>
      <c r="N1322" s="514">
        <v>3017869</v>
      </c>
      <c r="O1322" s="499"/>
      <c r="P1322" s="499"/>
      <c r="Q1322" s="499"/>
    </row>
    <row r="1323" spans="1:17" ht="14.4" x14ac:dyDescent="0.3">
      <c r="A1323" s="502">
        <v>4400092</v>
      </c>
      <c r="B1323" s="503" t="s">
        <v>368</v>
      </c>
      <c r="C1323" s="514">
        <v>0</v>
      </c>
      <c r="D1323" s="514">
        <v>0</v>
      </c>
      <c r="E1323" s="514">
        <v>0</v>
      </c>
      <c r="F1323" s="514">
        <v>0</v>
      </c>
      <c r="G1323" s="514">
        <v>0</v>
      </c>
      <c r="H1323" s="514">
        <v>0</v>
      </c>
      <c r="I1323" s="514">
        <v>0</v>
      </c>
      <c r="J1323" s="514">
        <v>0</v>
      </c>
      <c r="K1323" s="514">
        <v>0</v>
      </c>
      <c r="L1323" s="514">
        <v>0</v>
      </c>
      <c r="M1323" s="514">
        <v>0</v>
      </c>
      <c r="N1323" s="514">
        <v>0</v>
      </c>
      <c r="O1323" s="499"/>
      <c r="P1323" s="499"/>
      <c r="Q1323" s="499"/>
    </row>
    <row r="1324" spans="1:17" ht="14.4" x14ac:dyDescent="0.3">
      <c r="A1324" s="502">
        <v>4420010</v>
      </c>
      <c r="B1324" s="503" t="s">
        <v>374</v>
      </c>
      <c r="C1324" s="514">
        <v>0</v>
      </c>
      <c r="D1324" s="514">
        <v>0</v>
      </c>
      <c r="E1324" s="514">
        <v>0</v>
      </c>
      <c r="F1324" s="514">
        <v>0</v>
      </c>
      <c r="G1324" s="514">
        <v>0</v>
      </c>
      <c r="H1324" s="514">
        <v>0</v>
      </c>
      <c r="I1324" s="514">
        <v>0</v>
      </c>
      <c r="J1324" s="514">
        <v>0</v>
      </c>
      <c r="K1324" s="514">
        <v>0</v>
      </c>
      <c r="L1324" s="514">
        <v>0</v>
      </c>
      <c r="M1324" s="514">
        <v>0</v>
      </c>
      <c r="N1324" s="514">
        <v>0</v>
      </c>
      <c r="O1324" s="499"/>
      <c r="P1324" s="499"/>
      <c r="Q1324" s="499"/>
    </row>
    <row r="1325" spans="1:17" ht="14.4" x14ac:dyDescent="0.3">
      <c r="A1325" s="502">
        <v>4420020</v>
      </c>
      <c r="B1325" s="503" t="s">
        <v>376</v>
      </c>
      <c r="C1325" s="514">
        <v>0</v>
      </c>
      <c r="D1325" s="514">
        <v>0</v>
      </c>
      <c r="E1325" s="514">
        <v>0</v>
      </c>
      <c r="F1325" s="514">
        <v>0</v>
      </c>
      <c r="G1325" s="514">
        <v>0</v>
      </c>
      <c r="H1325" s="514">
        <v>0</v>
      </c>
      <c r="I1325" s="514">
        <v>0</v>
      </c>
      <c r="J1325" s="514">
        <v>0</v>
      </c>
      <c r="K1325" s="514">
        <v>0</v>
      </c>
      <c r="L1325" s="514">
        <v>0</v>
      </c>
      <c r="M1325" s="514">
        <v>0</v>
      </c>
      <c r="N1325" s="514">
        <v>0</v>
      </c>
      <c r="O1325" s="499"/>
      <c r="P1325" s="499"/>
      <c r="Q1325" s="499"/>
    </row>
    <row r="1326" spans="1:17" ht="14.4" x14ac:dyDescent="0.3">
      <c r="A1326" s="502">
        <v>4420030</v>
      </c>
      <c r="B1326" s="503" t="s">
        <v>378</v>
      </c>
      <c r="C1326" s="514">
        <v>0</v>
      </c>
      <c r="D1326" s="514">
        <v>0</v>
      </c>
      <c r="E1326" s="514">
        <v>0</v>
      </c>
      <c r="F1326" s="514">
        <v>0</v>
      </c>
      <c r="G1326" s="514">
        <v>0</v>
      </c>
      <c r="H1326" s="514">
        <v>0</v>
      </c>
      <c r="I1326" s="514">
        <v>0</v>
      </c>
      <c r="J1326" s="514">
        <v>0</v>
      </c>
      <c r="K1326" s="514">
        <v>0</v>
      </c>
      <c r="L1326" s="514">
        <v>0</v>
      </c>
      <c r="M1326" s="514">
        <v>0</v>
      </c>
      <c r="N1326" s="514">
        <v>0</v>
      </c>
      <c r="O1326" s="499"/>
      <c r="P1326" s="499"/>
      <c r="Q1326" s="499"/>
    </row>
    <row r="1327" spans="1:17" ht="14.4" x14ac:dyDescent="0.3">
      <c r="A1327" s="502">
        <v>4420040</v>
      </c>
      <c r="B1327" s="503" t="s">
        <v>380</v>
      </c>
      <c r="C1327" s="514">
        <v>0</v>
      </c>
      <c r="D1327" s="514">
        <v>0</v>
      </c>
      <c r="E1327" s="514">
        <v>0</v>
      </c>
      <c r="F1327" s="514">
        <v>0</v>
      </c>
      <c r="G1327" s="514">
        <v>0</v>
      </c>
      <c r="H1327" s="514">
        <v>0</v>
      </c>
      <c r="I1327" s="514">
        <v>0</v>
      </c>
      <c r="J1327" s="514">
        <v>0</v>
      </c>
      <c r="K1327" s="514">
        <v>0</v>
      </c>
      <c r="L1327" s="514">
        <v>0</v>
      </c>
      <c r="M1327" s="514">
        <v>0</v>
      </c>
      <c r="N1327" s="514">
        <v>0</v>
      </c>
      <c r="O1327" s="499"/>
      <c r="P1327" s="499"/>
      <c r="Q1327" s="499"/>
    </row>
    <row r="1328" spans="1:17" ht="14.4" x14ac:dyDescent="0.3">
      <c r="A1328" s="502">
        <v>4420050</v>
      </c>
      <c r="B1328" s="503" t="s">
        <v>382</v>
      </c>
      <c r="C1328" s="514">
        <v>0</v>
      </c>
      <c r="D1328" s="514">
        <v>0</v>
      </c>
      <c r="E1328" s="514">
        <v>0</v>
      </c>
      <c r="F1328" s="514">
        <v>0</v>
      </c>
      <c r="G1328" s="514">
        <v>0</v>
      </c>
      <c r="H1328" s="514">
        <v>0</v>
      </c>
      <c r="I1328" s="514">
        <v>0</v>
      </c>
      <c r="J1328" s="514">
        <v>0</v>
      </c>
      <c r="K1328" s="514">
        <v>0</v>
      </c>
      <c r="L1328" s="514">
        <v>0</v>
      </c>
      <c r="M1328" s="514">
        <v>0</v>
      </c>
      <c r="N1328" s="514">
        <v>0</v>
      </c>
      <c r="O1328" s="499"/>
      <c r="P1328" s="499"/>
      <c r="Q1328" s="499"/>
    </row>
    <row r="1329" spans="1:17" ht="14.4" x14ac:dyDescent="0.3">
      <c r="A1329" s="502">
        <v>4420060</v>
      </c>
      <c r="B1329" s="503" t="s">
        <v>384</v>
      </c>
      <c r="C1329" s="514">
        <v>0</v>
      </c>
      <c r="D1329" s="514">
        <v>0</v>
      </c>
      <c r="E1329" s="514">
        <v>0</v>
      </c>
      <c r="F1329" s="514">
        <v>0</v>
      </c>
      <c r="G1329" s="514">
        <v>0</v>
      </c>
      <c r="H1329" s="514">
        <v>0</v>
      </c>
      <c r="I1329" s="514">
        <v>0</v>
      </c>
      <c r="J1329" s="514">
        <v>0</v>
      </c>
      <c r="K1329" s="514">
        <v>0</v>
      </c>
      <c r="L1329" s="514">
        <v>0</v>
      </c>
      <c r="M1329" s="514">
        <v>0</v>
      </c>
      <c r="N1329" s="514">
        <v>0</v>
      </c>
      <c r="O1329" s="499"/>
      <c r="P1329" s="499"/>
      <c r="Q1329" s="499"/>
    </row>
    <row r="1330" spans="1:17" ht="14.4" x14ac:dyDescent="0.3">
      <c r="A1330" s="502">
        <v>4420070</v>
      </c>
      <c r="B1330" s="503" t="s">
        <v>386</v>
      </c>
      <c r="C1330" s="514">
        <v>0</v>
      </c>
      <c r="D1330" s="514">
        <v>0</v>
      </c>
      <c r="E1330" s="514">
        <v>0</v>
      </c>
      <c r="F1330" s="514">
        <v>0</v>
      </c>
      <c r="G1330" s="514">
        <v>0</v>
      </c>
      <c r="H1330" s="514">
        <v>0</v>
      </c>
      <c r="I1330" s="514">
        <v>0</v>
      </c>
      <c r="J1330" s="514">
        <v>0</v>
      </c>
      <c r="K1330" s="514">
        <v>0</v>
      </c>
      <c r="L1330" s="514">
        <v>0</v>
      </c>
      <c r="M1330" s="514">
        <v>0</v>
      </c>
      <c r="N1330" s="514">
        <v>0</v>
      </c>
      <c r="O1330" s="499"/>
      <c r="P1330" s="499"/>
      <c r="Q1330" s="499"/>
    </row>
    <row r="1331" spans="1:17" ht="14.4" x14ac:dyDescent="0.3">
      <c r="A1331" s="502">
        <v>4420080</v>
      </c>
      <c r="B1331" s="503" t="s">
        <v>3069</v>
      </c>
      <c r="C1331" s="514">
        <v>0</v>
      </c>
      <c r="D1331" s="514">
        <v>0</v>
      </c>
      <c r="E1331" s="514">
        <v>0</v>
      </c>
      <c r="F1331" s="514">
        <v>0</v>
      </c>
      <c r="G1331" s="514">
        <v>0</v>
      </c>
      <c r="H1331" s="514">
        <v>0</v>
      </c>
      <c r="I1331" s="514">
        <v>0</v>
      </c>
      <c r="J1331" s="514">
        <v>0</v>
      </c>
      <c r="K1331" s="514">
        <v>0</v>
      </c>
      <c r="L1331" s="514">
        <v>0</v>
      </c>
      <c r="M1331" s="514">
        <v>0</v>
      </c>
      <c r="N1331" s="514">
        <v>0</v>
      </c>
      <c r="O1331" s="499"/>
      <c r="P1331" s="499"/>
      <c r="Q1331" s="499"/>
    </row>
    <row r="1332" spans="1:17" ht="14.4" x14ac:dyDescent="0.3">
      <c r="A1332" s="504">
        <v>4420090</v>
      </c>
      <c r="B1332" s="505" t="s">
        <v>388</v>
      </c>
      <c r="C1332" s="514">
        <v>0</v>
      </c>
      <c r="D1332" s="514">
        <v>0</v>
      </c>
      <c r="E1332" s="514">
        <v>0</v>
      </c>
      <c r="F1332" s="514">
        <v>0</v>
      </c>
      <c r="G1332" s="514">
        <v>0</v>
      </c>
      <c r="H1332" s="514">
        <v>0</v>
      </c>
      <c r="I1332" s="514">
        <v>0</v>
      </c>
      <c r="J1332" s="514">
        <v>0</v>
      </c>
      <c r="K1332" s="514">
        <v>0</v>
      </c>
      <c r="L1332" s="514">
        <v>0</v>
      </c>
      <c r="M1332" s="514">
        <v>0</v>
      </c>
      <c r="N1332" s="514">
        <v>0</v>
      </c>
      <c r="O1332" s="499"/>
      <c r="P1332" s="499"/>
      <c r="Q1332" s="499"/>
    </row>
    <row r="1333" spans="1:17" ht="14.4" x14ac:dyDescent="0.3">
      <c r="A1333" s="502">
        <v>4420091</v>
      </c>
      <c r="B1333" s="503" t="s">
        <v>390</v>
      </c>
      <c r="C1333" s="514">
        <v>0</v>
      </c>
      <c r="D1333" s="514">
        <v>0</v>
      </c>
      <c r="E1333" s="514">
        <v>0</v>
      </c>
      <c r="F1333" s="514">
        <v>0</v>
      </c>
      <c r="G1333" s="514">
        <v>0</v>
      </c>
      <c r="H1333" s="514">
        <v>0</v>
      </c>
      <c r="I1333" s="514">
        <v>0</v>
      </c>
      <c r="J1333" s="514">
        <v>0</v>
      </c>
      <c r="K1333" s="514">
        <v>0</v>
      </c>
      <c r="L1333" s="514">
        <v>0</v>
      </c>
      <c r="M1333" s="514">
        <v>0</v>
      </c>
      <c r="N1333" s="514">
        <v>0</v>
      </c>
      <c r="O1333" s="499"/>
      <c r="P1333" s="499"/>
      <c r="Q1333" s="499"/>
    </row>
    <row r="1334" spans="1:17" ht="14.4" x14ac:dyDescent="0.3">
      <c r="A1334" s="502">
        <v>4420092</v>
      </c>
      <c r="B1334" s="503" t="s">
        <v>392</v>
      </c>
      <c r="C1334" s="514">
        <v>0</v>
      </c>
      <c r="D1334" s="514">
        <v>0</v>
      </c>
      <c r="E1334" s="514">
        <v>0</v>
      </c>
      <c r="F1334" s="514">
        <v>0</v>
      </c>
      <c r="G1334" s="514">
        <v>0</v>
      </c>
      <c r="H1334" s="514">
        <v>0</v>
      </c>
      <c r="I1334" s="514">
        <v>0</v>
      </c>
      <c r="J1334" s="514">
        <v>0</v>
      </c>
      <c r="K1334" s="514">
        <v>0</v>
      </c>
      <c r="L1334" s="514">
        <v>0</v>
      </c>
      <c r="M1334" s="514">
        <v>0</v>
      </c>
      <c r="N1334" s="514">
        <v>0</v>
      </c>
      <c r="O1334" s="499"/>
      <c r="P1334" s="499"/>
      <c r="Q1334" s="499"/>
    </row>
    <row r="1335" spans="1:17" ht="14.4" x14ac:dyDescent="0.3">
      <c r="A1335" s="502">
        <v>4420110</v>
      </c>
      <c r="B1335" s="503" t="s">
        <v>396</v>
      </c>
      <c r="C1335" s="514">
        <v>28572058</v>
      </c>
      <c r="D1335" s="514">
        <v>27596445</v>
      </c>
      <c r="E1335" s="514">
        <v>27717821</v>
      </c>
      <c r="F1335" s="514">
        <v>28853019</v>
      </c>
      <c r="G1335" s="514">
        <v>30039907</v>
      </c>
      <c r="H1335" s="514">
        <v>32128088</v>
      </c>
      <c r="I1335" s="514">
        <v>33030306</v>
      </c>
      <c r="J1335" s="514">
        <v>32932600</v>
      </c>
      <c r="K1335" s="514">
        <v>33116132</v>
      </c>
      <c r="L1335" s="514">
        <v>31824813</v>
      </c>
      <c r="M1335" s="514">
        <v>29615519</v>
      </c>
      <c r="N1335" s="514">
        <v>28579750</v>
      </c>
      <c r="O1335" s="499"/>
      <c r="P1335" s="499"/>
      <c r="Q1335" s="499"/>
    </row>
    <row r="1336" spans="1:17" ht="14.4" x14ac:dyDescent="0.3">
      <c r="A1336" s="502">
        <v>4420120</v>
      </c>
      <c r="B1336" s="503" t="s">
        <v>398</v>
      </c>
      <c r="C1336" s="514">
        <v>16472689</v>
      </c>
      <c r="D1336" s="514">
        <v>15143168</v>
      </c>
      <c r="E1336" s="514">
        <v>15433087</v>
      </c>
      <c r="F1336" s="514">
        <v>16443138</v>
      </c>
      <c r="G1336" s="514">
        <v>17557532</v>
      </c>
      <c r="H1336" s="514">
        <v>19565988</v>
      </c>
      <c r="I1336" s="514">
        <v>20452602</v>
      </c>
      <c r="J1336" s="514">
        <v>20495572</v>
      </c>
      <c r="K1336" s="514">
        <v>21032751</v>
      </c>
      <c r="L1336" s="514">
        <v>19220359</v>
      </c>
      <c r="M1336" s="514">
        <v>17510780</v>
      </c>
      <c r="N1336" s="514">
        <v>16330886</v>
      </c>
      <c r="O1336" s="499"/>
      <c r="P1336" s="499"/>
      <c r="Q1336" s="499"/>
    </row>
    <row r="1337" spans="1:17" ht="14.4" x14ac:dyDescent="0.3">
      <c r="A1337" s="502">
        <v>4420130</v>
      </c>
      <c r="B1337" s="503" t="s">
        <v>400</v>
      </c>
      <c r="C1337" s="514">
        <v>81169</v>
      </c>
      <c r="D1337" s="514">
        <v>79883</v>
      </c>
      <c r="E1337" s="514">
        <v>80055</v>
      </c>
      <c r="F1337" s="514">
        <v>83182</v>
      </c>
      <c r="G1337" s="514">
        <v>86867</v>
      </c>
      <c r="H1337" s="514">
        <v>92759</v>
      </c>
      <c r="I1337" s="514">
        <v>95394</v>
      </c>
      <c r="J1337" s="514">
        <v>94988</v>
      </c>
      <c r="K1337" s="514">
        <v>94155</v>
      </c>
      <c r="L1337" s="514">
        <v>91914</v>
      </c>
      <c r="M1337" s="514">
        <v>84794</v>
      </c>
      <c r="N1337" s="514">
        <v>81502</v>
      </c>
      <c r="O1337" s="499"/>
      <c r="P1337" s="499"/>
      <c r="Q1337" s="499"/>
    </row>
    <row r="1338" spans="1:17" ht="14.4" x14ac:dyDescent="0.3">
      <c r="A1338" s="502">
        <v>4420140</v>
      </c>
      <c r="B1338" s="503" t="s">
        <v>402</v>
      </c>
      <c r="C1338" s="514">
        <v>1370800</v>
      </c>
      <c r="D1338" s="514">
        <v>1346630</v>
      </c>
      <c r="E1338" s="514">
        <v>1350198</v>
      </c>
      <c r="F1338" s="514">
        <v>1403266</v>
      </c>
      <c r="G1338" s="514">
        <v>1465938</v>
      </c>
      <c r="H1338" s="514">
        <v>1567275</v>
      </c>
      <c r="I1338" s="514">
        <v>1612025</v>
      </c>
      <c r="J1338" s="514">
        <v>1605462</v>
      </c>
      <c r="K1338" s="514">
        <v>1593506</v>
      </c>
      <c r="L1338" s="514">
        <v>1552529</v>
      </c>
      <c r="M1338" s="514">
        <v>1432637</v>
      </c>
      <c r="N1338" s="514">
        <v>1376109</v>
      </c>
      <c r="O1338" s="499"/>
      <c r="P1338" s="499"/>
      <c r="Q1338" s="499"/>
    </row>
    <row r="1339" spans="1:17" ht="14.4" x14ac:dyDescent="0.3">
      <c r="A1339" s="502">
        <v>4420150</v>
      </c>
      <c r="B1339" s="503" t="s">
        <v>404</v>
      </c>
      <c r="C1339" s="514">
        <v>390449</v>
      </c>
      <c r="D1339" s="514">
        <v>359175</v>
      </c>
      <c r="E1339" s="514">
        <v>365998</v>
      </c>
      <c r="F1339" s="514">
        <v>389768</v>
      </c>
      <c r="G1339" s="514">
        <v>415990</v>
      </c>
      <c r="H1339" s="514">
        <v>463237</v>
      </c>
      <c r="I1339" s="514">
        <v>484093</v>
      </c>
      <c r="J1339" s="514">
        <v>485103</v>
      </c>
      <c r="K1339" s="514">
        <v>497732</v>
      </c>
      <c r="L1339" s="514">
        <v>455103</v>
      </c>
      <c r="M1339" s="514">
        <v>414875</v>
      </c>
      <c r="N1339" s="514">
        <v>387099</v>
      </c>
      <c r="O1339" s="499"/>
      <c r="P1339" s="499"/>
      <c r="Q1339" s="499"/>
    </row>
    <row r="1340" spans="1:17" ht="14.4" x14ac:dyDescent="0.3">
      <c r="A1340" s="502">
        <v>4420160</v>
      </c>
      <c r="B1340" s="503" t="s">
        <v>406</v>
      </c>
      <c r="C1340" s="514">
        <v>1557531.26</v>
      </c>
      <c r="D1340" s="514">
        <v>1480917.3</v>
      </c>
      <c r="E1340" s="514">
        <v>1494593.56</v>
      </c>
      <c r="F1340" s="514">
        <v>1568191.09</v>
      </c>
      <c r="G1340" s="514">
        <v>1647683.98</v>
      </c>
      <c r="H1340" s="514">
        <v>1788385.5</v>
      </c>
      <c r="I1340" s="514">
        <v>1849931.62</v>
      </c>
      <c r="J1340" s="514">
        <v>1847728.11</v>
      </c>
      <c r="K1340" s="514">
        <v>1870236.69</v>
      </c>
      <c r="L1340" s="514">
        <v>1766199.85</v>
      </c>
      <c r="M1340" s="514">
        <v>1629977.85</v>
      </c>
      <c r="N1340" s="514">
        <v>1553702.75</v>
      </c>
      <c r="O1340" s="499"/>
      <c r="P1340" s="499"/>
      <c r="Q1340" s="499"/>
    </row>
    <row r="1341" spans="1:17" ht="14.4" x14ac:dyDescent="0.3">
      <c r="A1341" s="502">
        <v>4420170</v>
      </c>
      <c r="B1341" s="503" t="s">
        <v>408</v>
      </c>
      <c r="C1341" s="514">
        <v>1270931.02</v>
      </c>
      <c r="D1341" s="514">
        <v>1208415.52</v>
      </c>
      <c r="E1341" s="514">
        <v>1219575.22</v>
      </c>
      <c r="F1341" s="514">
        <v>1279629.6000000001</v>
      </c>
      <c r="G1341" s="514">
        <v>1344494.48</v>
      </c>
      <c r="H1341" s="514">
        <v>1459304.51</v>
      </c>
      <c r="I1341" s="514">
        <v>1509525.15</v>
      </c>
      <c r="J1341" s="514">
        <v>1507727.24</v>
      </c>
      <c r="K1341" s="514">
        <v>1526093.95</v>
      </c>
      <c r="L1341" s="514">
        <v>1441201.88</v>
      </c>
      <c r="M1341" s="514">
        <v>1330047.3</v>
      </c>
      <c r="N1341" s="514">
        <v>1267808.3</v>
      </c>
      <c r="O1341" s="499"/>
      <c r="P1341" s="499"/>
      <c r="Q1341" s="499"/>
    </row>
    <row r="1342" spans="1:17" ht="14.4" x14ac:dyDescent="0.3">
      <c r="A1342" s="504">
        <v>4420180</v>
      </c>
      <c r="B1342" s="505" t="s">
        <v>410</v>
      </c>
      <c r="C1342" s="514">
        <v>0</v>
      </c>
      <c r="D1342" s="514">
        <v>0</v>
      </c>
      <c r="E1342" s="514">
        <v>0</v>
      </c>
      <c r="F1342" s="514">
        <v>0</v>
      </c>
      <c r="G1342" s="514">
        <v>0</v>
      </c>
      <c r="H1342" s="514">
        <v>0</v>
      </c>
      <c r="I1342" s="514">
        <v>0</v>
      </c>
      <c r="J1342" s="514">
        <v>0</v>
      </c>
      <c r="K1342" s="514">
        <v>0</v>
      </c>
      <c r="L1342" s="514">
        <v>0</v>
      </c>
      <c r="M1342" s="514">
        <v>0</v>
      </c>
      <c r="N1342" s="514">
        <v>0</v>
      </c>
      <c r="O1342" s="499"/>
      <c r="P1342" s="499"/>
      <c r="Q1342" s="499"/>
    </row>
    <row r="1343" spans="1:17" ht="14.4" x14ac:dyDescent="0.3">
      <c r="A1343" s="502">
        <v>4420190</v>
      </c>
      <c r="B1343" s="503" t="s">
        <v>412</v>
      </c>
      <c r="C1343" s="514">
        <v>1565830.46</v>
      </c>
      <c r="D1343" s="514">
        <v>1517712.89</v>
      </c>
      <c r="E1343" s="514">
        <v>1526733.73</v>
      </c>
      <c r="F1343" s="514">
        <v>1588012.12</v>
      </c>
      <c r="G1343" s="514">
        <v>1658989.6</v>
      </c>
      <c r="H1343" s="514">
        <v>1780854.74</v>
      </c>
      <c r="I1343" s="514">
        <v>1835182.97</v>
      </c>
      <c r="J1343" s="514">
        <v>1831875.77</v>
      </c>
      <c r="K1343" s="514">
        <v>1837959.52</v>
      </c>
      <c r="L1343" s="514">
        <v>1762687.55</v>
      </c>
      <c r="M1343" s="514">
        <v>1636704.97</v>
      </c>
      <c r="N1343" s="514">
        <v>1571439.51</v>
      </c>
      <c r="O1343" s="499"/>
      <c r="P1343" s="499"/>
      <c r="Q1343" s="499"/>
    </row>
    <row r="1344" spans="1:17" ht="14.4" x14ac:dyDescent="0.3">
      <c r="A1344" s="502">
        <v>4420191</v>
      </c>
      <c r="B1344" s="503" t="s">
        <v>414</v>
      </c>
      <c r="C1344" s="514">
        <v>1383805</v>
      </c>
      <c r="D1344" s="514">
        <v>1355673</v>
      </c>
      <c r="E1344" s="514">
        <v>1360019</v>
      </c>
      <c r="F1344" s="514">
        <v>1415645</v>
      </c>
      <c r="G1344" s="514">
        <v>1480537</v>
      </c>
      <c r="H1344" s="514">
        <v>1585149</v>
      </c>
      <c r="I1344" s="514">
        <v>1632349</v>
      </c>
      <c r="J1344" s="514">
        <v>1626230</v>
      </c>
      <c r="K1344" s="514">
        <v>1615892</v>
      </c>
      <c r="L1344" s="514">
        <v>1569923</v>
      </c>
      <c r="M1344" s="514">
        <v>1446981</v>
      </c>
      <c r="N1344" s="514">
        <v>1388178</v>
      </c>
      <c r="O1344" s="499"/>
      <c r="P1344" s="499"/>
      <c r="Q1344" s="499"/>
    </row>
    <row r="1345" spans="1:17" ht="14.4" x14ac:dyDescent="0.3">
      <c r="A1345" s="502">
        <v>4420192</v>
      </c>
      <c r="B1345" s="503" t="s">
        <v>416</v>
      </c>
      <c r="C1345" s="514">
        <v>0</v>
      </c>
      <c r="D1345" s="514">
        <v>0</v>
      </c>
      <c r="E1345" s="514">
        <v>0</v>
      </c>
      <c r="F1345" s="514">
        <v>0</v>
      </c>
      <c r="G1345" s="514">
        <v>0</v>
      </c>
      <c r="H1345" s="514">
        <v>0</v>
      </c>
      <c r="I1345" s="514">
        <v>0</v>
      </c>
      <c r="J1345" s="514">
        <v>0</v>
      </c>
      <c r="K1345" s="514">
        <v>0</v>
      </c>
      <c r="L1345" s="514">
        <v>0</v>
      </c>
      <c r="M1345" s="514">
        <v>0</v>
      </c>
      <c r="N1345" s="514">
        <v>0</v>
      </c>
      <c r="O1345" s="499"/>
      <c r="P1345" s="499"/>
      <c r="Q1345" s="499"/>
    </row>
    <row r="1346" spans="1:17" ht="14.4" x14ac:dyDescent="0.3">
      <c r="A1346" s="502">
        <v>4420210</v>
      </c>
      <c r="B1346" s="503" t="s">
        <v>424</v>
      </c>
      <c r="C1346" s="514">
        <v>0</v>
      </c>
      <c r="D1346" s="514">
        <v>0</v>
      </c>
      <c r="E1346" s="514">
        <v>0</v>
      </c>
      <c r="F1346" s="514">
        <v>0</v>
      </c>
      <c r="G1346" s="514">
        <v>0</v>
      </c>
      <c r="H1346" s="514">
        <v>0</v>
      </c>
      <c r="I1346" s="514">
        <v>0</v>
      </c>
      <c r="J1346" s="514">
        <v>0</v>
      </c>
      <c r="K1346" s="514">
        <v>0</v>
      </c>
      <c r="L1346" s="514">
        <v>0</v>
      </c>
      <c r="M1346" s="514">
        <v>0</v>
      </c>
      <c r="N1346" s="514">
        <v>0</v>
      </c>
      <c r="O1346" s="499"/>
      <c r="P1346" s="499"/>
      <c r="Q1346" s="499"/>
    </row>
    <row r="1347" spans="1:17" ht="14.4" x14ac:dyDescent="0.3">
      <c r="A1347" s="502">
        <v>4420220</v>
      </c>
      <c r="B1347" s="503" t="s">
        <v>426</v>
      </c>
      <c r="C1347" s="514">
        <v>0</v>
      </c>
      <c r="D1347" s="514">
        <v>0</v>
      </c>
      <c r="E1347" s="514">
        <v>0</v>
      </c>
      <c r="F1347" s="514">
        <v>0</v>
      </c>
      <c r="G1347" s="514">
        <v>0</v>
      </c>
      <c r="H1347" s="514">
        <v>0</v>
      </c>
      <c r="I1347" s="514">
        <v>0</v>
      </c>
      <c r="J1347" s="514">
        <v>0</v>
      </c>
      <c r="K1347" s="514">
        <v>0</v>
      </c>
      <c r="L1347" s="514">
        <v>0</v>
      </c>
      <c r="M1347" s="514">
        <v>0</v>
      </c>
      <c r="N1347" s="514">
        <v>0</v>
      </c>
      <c r="O1347" s="499"/>
      <c r="P1347" s="499"/>
      <c r="Q1347" s="499"/>
    </row>
    <row r="1348" spans="1:17" ht="14.4" x14ac:dyDescent="0.3">
      <c r="A1348" s="502">
        <v>4420230</v>
      </c>
      <c r="B1348" s="503" t="s">
        <v>428</v>
      </c>
      <c r="C1348" s="514">
        <v>0</v>
      </c>
      <c r="D1348" s="514">
        <v>0</v>
      </c>
      <c r="E1348" s="514">
        <v>0</v>
      </c>
      <c r="F1348" s="514">
        <v>0</v>
      </c>
      <c r="G1348" s="514">
        <v>0</v>
      </c>
      <c r="H1348" s="514">
        <v>0</v>
      </c>
      <c r="I1348" s="514">
        <v>0</v>
      </c>
      <c r="J1348" s="514">
        <v>0</v>
      </c>
      <c r="K1348" s="514">
        <v>0</v>
      </c>
      <c r="L1348" s="514">
        <v>0</v>
      </c>
      <c r="M1348" s="514">
        <v>0</v>
      </c>
      <c r="N1348" s="514">
        <v>0</v>
      </c>
      <c r="O1348" s="499"/>
      <c r="P1348" s="499"/>
      <c r="Q1348" s="499"/>
    </row>
    <row r="1349" spans="1:17" ht="14.4" x14ac:dyDescent="0.3">
      <c r="A1349" s="502">
        <v>4420240</v>
      </c>
      <c r="B1349" s="503" t="s">
        <v>430</v>
      </c>
      <c r="C1349" s="514">
        <v>0</v>
      </c>
      <c r="D1349" s="514">
        <v>0</v>
      </c>
      <c r="E1349" s="514">
        <v>0</v>
      </c>
      <c r="F1349" s="514">
        <v>0</v>
      </c>
      <c r="G1349" s="514">
        <v>0</v>
      </c>
      <c r="H1349" s="514">
        <v>0</v>
      </c>
      <c r="I1349" s="514">
        <v>0</v>
      </c>
      <c r="J1349" s="514">
        <v>0</v>
      </c>
      <c r="K1349" s="514">
        <v>0</v>
      </c>
      <c r="L1349" s="514">
        <v>0</v>
      </c>
      <c r="M1349" s="514">
        <v>0</v>
      </c>
      <c r="N1349" s="514">
        <v>0</v>
      </c>
      <c r="O1349" s="499"/>
      <c r="P1349" s="499"/>
      <c r="Q1349" s="499"/>
    </row>
    <row r="1350" spans="1:17" ht="14.4" x14ac:dyDescent="0.3">
      <c r="A1350" s="502">
        <v>4420250</v>
      </c>
      <c r="B1350" s="503" t="s">
        <v>432</v>
      </c>
      <c r="C1350" s="514">
        <v>0</v>
      </c>
      <c r="D1350" s="514">
        <v>0</v>
      </c>
      <c r="E1350" s="514">
        <v>0</v>
      </c>
      <c r="F1350" s="514">
        <v>0</v>
      </c>
      <c r="G1350" s="514">
        <v>0</v>
      </c>
      <c r="H1350" s="514">
        <v>0</v>
      </c>
      <c r="I1350" s="514">
        <v>0</v>
      </c>
      <c r="J1350" s="514">
        <v>0</v>
      </c>
      <c r="K1350" s="514">
        <v>0</v>
      </c>
      <c r="L1350" s="514">
        <v>0</v>
      </c>
      <c r="M1350" s="514">
        <v>0</v>
      </c>
      <c r="N1350" s="514">
        <v>0</v>
      </c>
      <c r="O1350" s="499"/>
      <c r="P1350" s="499"/>
      <c r="Q1350" s="499"/>
    </row>
    <row r="1351" spans="1:17" ht="14.4" x14ac:dyDescent="0.3">
      <c r="A1351" s="504">
        <v>4420260</v>
      </c>
      <c r="B1351" s="505" t="s">
        <v>3070</v>
      </c>
      <c r="C1351" s="514">
        <v>0</v>
      </c>
      <c r="D1351" s="514">
        <v>0</v>
      </c>
      <c r="E1351" s="514">
        <v>0</v>
      </c>
      <c r="F1351" s="514">
        <v>0</v>
      </c>
      <c r="G1351" s="514">
        <v>0</v>
      </c>
      <c r="H1351" s="514">
        <v>0</v>
      </c>
      <c r="I1351" s="514">
        <v>0</v>
      </c>
      <c r="J1351" s="514">
        <v>0</v>
      </c>
      <c r="K1351" s="514">
        <v>0</v>
      </c>
      <c r="L1351" s="514">
        <v>0</v>
      </c>
      <c r="M1351" s="514">
        <v>0</v>
      </c>
      <c r="N1351" s="514">
        <v>0</v>
      </c>
      <c r="O1351" s="499"/>
      <c r="P1351" s="499"/>
      <c r="Q1351" s="499"/>
    </row>
    <row r="1352" spans="1:17" ht="14.4" x14ac:dyDescent="0.3">
      <c r="A1352" s="502">
        <v>4420270</v>
      </c>
      <c r="B1352" s="503" t="s">
        <v>434</v>
      </c>
      <c r="C1352" s="514">
        <v>0</v>
      </c>
      <c r="D1352" s="514">
        <v>0</v>
      </c>
      <c r="E1352" s="514">
        <v>0</v>
      </c>
      <c r="F1352" s="514">
        <v>0</v>
      </c>
      <c r="G1352" s="514">
        <v>0</v>
      </c>
      <c r="H1352" s="514">
        <v>0</v>
      </c>
      <c r="I1352" s="514">
        <v>0</v>
      </c>
      <c r="J1352" s="514">
        <v>0</v>
      </c>
      <c r="K1352" s="514">
        <v>0</v>
      </c>
      <c r="L1352" s="514">
        <v>0</v>
      </c>
      <c r="M1352" s="514">
        <v>0</v>
      </c>
      <c r="N1352" s="514">
        <v>0</v>
      </c>
      <c r="O1352" s="499"/>
      <c r="P1352" s="499"/>
      <c r="Q1352" s="499"/>
    </row>
    <row r="1353" spans="1:17" ht="14.4" x14ac:dyDescent="0.3">
      <c r="A1353" s="502">
        <v>4420280</v>
      </c>
      <c r="B1353" s="503" t="s">
        <v>3071</v>
      </c>
      <c r="C1353" s="514">
        <v>0</v>
      </c>
      <c r="D1353" s="514">
        <v>0</v>
      </c>
      <c r="E1353" s="514">
        <v>0</v>
      </c>
      <c r="F1353" s="514">
        <v>0</v>
      </c>
      <c r="G1353" s="514">
        <v>0</v>
      </c>
      <c r="H1353" s="514">
        <v>0</v>
      </c>
      <c r="I1353" s="514">
        <v>0</v>
      </c>
      <c r="J1353" s="514">
        <v>0</v>
      </c>
      <c r="K1353" s="514">
        <v>0</v>
      </c>
      <c r="L1353" s="514">
        <v>0</v>
      </c>
      <c r="M1353" s="514">
        <v>0</v>
      </c>
      <c r="N1353" s="514">
        <v>0</v>
      </c>
      <c r="O1353" s="499"/>
      <c r="P1353" s="499"/>
      <c r="Q1353" s="499"/>
    </row>
    <row r="1354" spans="1:17" ht="14.4" x14ac:dyDescent="0.3">
      <c r="A1354" s="502">
        <v>4420290</v>
      </c>
      <c r="B1354" s="503" t="s">
        <v>436</v>
      </c>
      <c r="C1354" s="514">
        <v>0</v>
      </c>
      <c r="D1354" s="514">
        <v>0</v>
      </c>
      <c r="E1354" s="514">
        <v>0</v>
      </c>
      <c r="F1354" s="514">
        <v>0</v>
      </c>
      <c r="G1354" s="514">
        <v>0</v>
      </c>
      <c r="H1354" s="514">
        <v>0</v>
      </c>
      <c r="I1354" s="514">
        <v>0</v>
      </c>
      <c r="J1354" s="514">
        <v>0</v>
      </c>
      <c r="K1354" s="514">
        <v>0</v>
      </c>
      <c r="L1354" s="514">
        <v>0</v>
      </c>
      <c r="M1354" s="514">
        <v>0</v>
      </c>
      <c r="N1354" s="514">
        <v>0</v>
      </c>
      <c r="O1354" s="499"/>
      <c r="P1354" s="499"/>
      <c r="Q1354" s="499"/>
    </row>
    <row r="1355" spans="1:17" ht="14.4" x14ac:dyDescent="0.3">
      <c r="A1355" s="502">
        <v>4420291</v>
      </c>
      <c r="B1355" s="503" t="s">
        <v>438</v>
      </c>
      <c r="C1355" s="514">
        <v>0</v>
      </c>
      <c r="D1355" s="514">
        <v>0</v>
      </c>
      <c r="E1355" s="514">
        <v>0</v>
      </c>
      <c r="F1355" s="514">
        <v>0</v>
      </c>
      <c r="G1355" s="514">
        <v>0</v>
      </c>
      <c r="H1355" s="514">
        <v>0</v>
      </c>
      <c r="I1355" s="514">
        <v>0</v>
      </c>
      <c r="J1355" s="514">
        <v>0</v>
      </c>
      <c r="K1355" s="514">
        <v>0</v>
      </c>
      <c r="L1355" s="514">
        <v>0</v>
      </c>
      <c r="M1355" s="514">
        <v>0</v>
      </c>
      <c r="N1355" s="514">
        <v>0</v>
      </c>
      <c r="O1355" s="499"/>
      <c r="P1355" s="499"/>
      <c r="Q1355" s="499"/>
    </row>
    <row r="1356" spans="1:17" ht="14.4" x14ac:dyDescent="0.3">
      <c r="A1356" s="502">
        <v>4420292</v>
      </c>
      <c r="B1356" s="503" t="s">
        <v>440</v>
      </c>
      <c r="C1356" s="514">
        <v>0</v>
      </c>
      <c r="D1356" s="514">
        <v>0</v>
      </c>
      <c r="E1356" s="514">
        <v>0</v>
      </c>
      <c r="F1356" s="514">
        <v>0</v>
      </c>
      <c r="G1356" s="514">
        <v>0</v>
      </c>
      <c r="H1356" s="514">
        <v>0</v>
      </c>
      <c r="I1356" s="514">
        <v>0</v>
      </c>
      <c r="J1356" s="514">
        <v>0</v>
      </c>
      <c r="K1356" s="514">
        <v>0</v>
      </c>
      <c r="L1356" s="514">
        <v>0</v>
      </c>
      <c r="M1356" s="514">
        <v>0</v>
      </c>
      <c r="N1356" s="514">
        <v>0</v>
      </c>
      <c r="O1356" s="499"/>
      <c r="P1356" s="499"/>
      <c r="Q1356" s="499"/>
    </row>
    <row r="1357" spans="1:17" ht="14.4" x14ac:dyDescent="0.3">
      <c r="A1357" s="502">
        <v>4420310</v>
      </c>
      <c r="B1357" s="503" t="s">
        <v>444</v>
      </c>
      <c r="C1357" s="514">
        <v>1732134</v>
      </c>
      <c r="D1357" s="514">
        <v>1755917</v>
      </c>
      <c r="E1357" s="514">
        <v>1804689</v>
      </c>
      <c r="F1357" s="514">
        <v>1763324</v>
      </c>
      <c r="G1357" s="514">
        <v>1709703</v>
      </c>
      <c r="H1357" s="514">
        <v>1658898</v>
      </c>
      <c r="I1357" s="514">
        <v>1764953</v>
      </c>
      <c r="J1357" s="514">
        <v>1752170</v>
      </c>
      <c r="K1357" s="514">
        <v>1684512</v>
      </c>
      <c r="L1357" s="514">
        <v>1740848</v>
      </c>
      <c r="M1357" s="514">
        <v>1775338</v>
      </c>
      <c r="N1357" s="514">
        <v>1747270</v>
      </c>
      <c r="O1357" s="499"/>
      <c r="P1357" s="499"/>
      <c r="Q1357" s="499"/>
    </row>
    <row r="1358" spans="1:17" ht="14.4" x14ac:dyDescent="0.3">
      <c r="A1358" s="502">
        <v>4420320</v>
      </c>
      <c r="B1358" s="503" t="s">
        <v>446</v>
      </c>
      <c r="C1358" s="514">
        <v>1852136</v>
      </c>
      <c r="D1358" s="514">
        <v>1673058</v>
      </c>
      <c r="E1358" s="514">
        <v>1852446</v>
      </c>
      <c r="F1358" s="514">
        <v>1793104</v>
      </c>
      <c r="G1358" s="514">
        <v>1852558</v>
      </c>
      <c r="H1358" s="514">
        <v>1793258</v>
      </c>
      <c r="I1358" s="514">
        <v>1852937</v>
      </c>
      <c r="J1358" s="514">
        <v>1852901</v>
      </c>
      <c r="K1358" s="514">
        <v>1792783</v>
      </c>
      <c r="L1358" s="514">
        <v>1852789</v>
      </c>
      <c r="M1358" s="514">
        <v>1792444</v>
      </c>
      <c r="N1358" s="514">
        <v>1852456</v>
      </c>
      <c r="O1358" s="499"/>
      <c r="P1358" s="499"/>
      <c r="Q1358" s="499"/>
    </row>
    <row r="1359" spans="1:17" ht="14.4" x14ac:dyDescent="0.3">
      <c r="A1359" s="502">
        <v>4420330</v>
      </c>
      <c r="B1359" s="503" t="s">
        <v>448</v>
      </c>
      <c r="C1359" s="514">
        <v>6912</v>
      </c>
      <c r="D1359" s="514">
        <v>7249</v>
      </c>
      <c r="E1359" s="514">
        <v>7172</v>
      </c>
      <c r="F1359" s="514">
        <v>7140</v>
      </c>
      <c r="G1359" s="514">
        <v>6675</v>
      </c>
      <c r="H1359" s="514">
        <v>6738</v>
      </c>
      <c r="I1359" s="514">
        <v>7042</v>
      </c>
      <c r="J1359" s="514">
        <v>6908</v>
      </c>
      <c r="K1359" s="514">
        <v>6797</v>
      </c>
      <c r="L1359" s="514">
        <v>6830</v>
      </c>
      <c r="M1359" s="514">
        <v>7114</v>
      </c>
      <c r="N1359" s="514">
        <v>7016</v>
      </c>
      <c r="O1359" s="499"/>
      <c r="P1359" s="499"/>
      <c r="Q1359" s="499"/>
    </row>
    <row r="1360" spans="1:17" ht="14.4" x14ac:dyDescent="0.3">
      <c r="A1360" s="502">
        <v>4420340</v>
      </c>
      <c r="B1360" s="503" t="s">
        <v>450</v>
      </c>
      <c r="C1360" s="514">
        <v>109617</v>
      </c>
      <c r="D1360" s="514">
        <v>114962</v>
      </c>
      <c r="E1360" s="514">
        <v>113733</v>
      </c>
      <c r="F1360" s="514">
        <v>113229</v>
      </c>
      <c r="G1360" s="514">
        <v>105872</v>
      </c>
      <c r="H1360" s="514">
        <v>106861</v>
      </c>
      <c r="I1360" s="514">
        <v>111683</v>
      </c>
      <c r="J1360" s="514">
        <v>109562</v>
      </c>
      <c r="K1360" s="514">
        <v>107797</v>
      </c>
      <c r="L1360" s="514">
        <v>108321</v>
      </c>
      <c r="M1360" s="514">
        <v>112810</v>
      </c>
      <c r="N1360" s="514">
        <v>111259</v>
      </c>
      <c r="O1360" s="499"/>
      <c r="P1360" s="499"/>
      <c r="Q1360" s="499"/>
    </row>
    <row r="1361" spans="1:17" ht="14.4" x14ac:dyDescent="0.3">
      <c r="A1361" s="502">
        <v>4420350</v>
      </c>
      <c r="B1361" s="503" t="s">
        <v>452</v>
      </c>
      <c r="C1361" s="514">
        <v>40868</v>
      </c>
      <c r="D1361" s="514">
        <v>36913</v>
      </c>
      <c r="E1361" s="514">
        <v>40868</v>
      </c>
      <c r="F1361" s="514">
        <v>39550</v>
      </c>
      <c r="G1361" s="514">
        <v>40868</v>
      </c>
      <c r="H1361" s="514">
        <v>39550</v>
      </c>
      <c r="I1361" s="514">
        <v>40868</v>
      </c>
      <c r="J1361" s="514">
        <v>40868</v>
      </c>
      <c r="K1361" s="514">
        <v>39550</v>
      </c>
      <c r="L1361" s="514">
        <v>40868</v>
      </c>
      <c r="M1361" s="514">
        <v>39550</v>
      </c>
      <c r="N1361" s="514">
        <v>40868</v>
      </c>
      <c r="O1361" s="499"/>
      <c r="P1361" s="499"/>
      <c r="Q1361" s="499"/>
    </row>
    <row r="1362" spans="1:17" ht="14.4" x14ac:dyDescent="0.3">
      <c r="A1362" s="502">
        <v>4420360</v>
      </c>
      <c r="B1362" s="503" t="s">
        <v>3072</v>
      </c>
      <c r="C1362" s="514">
        <v>0</v>
      </c>
      <c r="D1362" s="514">
        <v>0</v>
      </c>
      <c r="E1362" s="514">
        <v>0</v>
      </c>
      <c r="F1362" s="514">
        <v>0</v>
      </c>
      <c r="G1362" s="514">
        <v>0</v>
      </c>
      <c r="H1362" s="514">
        <v>0</v>
      </c>
      <c r="I1362" s="514">
        <v>0</v>
      </c>
      <c r="J1362" s="514">
        <v>0</v>
      </c>
      <c r="K1362" s="514">
        <v>0</v>
      </c>
      <c r="L1362" s="514">
        <v>0</v>
      </c>
      <c r="M1362" s="514">
        <v>0</v>
      </c>
      <c r="N1362" s="514">
        <v>0</v>
      </c>
      <c r="O1362" s="499"/>
      <c r="P1362" s="499"/>
      <c r="Q1362" s="499"/>
    </row>
    <row r="1363" spans="1:17" ht="14.4" x14ac:dyDescent="0.3">
      <c r="A1363" s="504">
        <v>4420370</v>
      </c>
      <c r="B1363" s="505" t="s">
        <v>454</v>
      </c>
      <c r="C1363" s="514">
        <v>97596.65</v>
      </c>
      <c r="D1363" s="514">
        <v>93825.98</v>
      </c>
      <c r="E1363" s="514">
        <v>99663.48</v>
      </c>
      <c r="F1363" s="514">
        <v>97011.1</v>
      </c>
      <c r="G1363" s="514">
        <v>96911.95</v>
      </c>
      <c r="H1363" s="514">
        <v>93910.399999999994</v>
      </c>
      <c r="I1363" s="514">
        <v>98500.5</v>
      </c>
      <c r="J1363" s="514">
        <v>98121.95</v>
      </c>
      <c r="K1363" s="514">
        <v>94701.94</v>
      </c>
      <c r="L1363" s="514">
        <v>97794.12</v>
      </c>
      <c r="M1363" s="514">
        <v>97369.41</v>
      </c>
      <c r="N1363" s="514">
        <v>98009.72</v>
      </c>
      <c r="O1363" s="499"/>
      <c r="P1363" s="499"/>
      <c r="Q1363" s="499"/>
    </row>
    <row r="1364" spans="1:17" ht="14.4" x14ac:dyDescent="0.3">
      <c r="A1364" s="502">
        <v>4420380</v>
      </c>
      <c r="B1364" s="503" t="s">
        <v>456</v>
      </c>
      <c r="C1364" s="514">
        <v>0</v>
      </c>
      <c r="D1364" s="514">
        <v>0</v>
      </c>
      <c r="E1364" s="514">
        <v>0</v>
      </c>
      <c r="F1364" s="514">
        <v>0</v>
      </c>
      <c r="G1364" s="514">
        <v>0</v>
      </c>
      <c r="H1364" s="514">
        <v>0</v>
      </c>
      <c r="I1364" s="514">
        <v>0</v>
      </c>
      <c r="J1364" s="514">
        <v>0</v>
      </c>
      <c r="K1364" s="514">
        <v>0</v>
      </c>
      <c r="L1364" s="514">
        <v>0</v>
      </c>
      <c r="M1364" s="514">
        <v>0</v>
      </c>
      <c r="N1364" s="514">
        <v>0</v>
      </c>
      <c r="O1364" s="499"/>
      <c r="P1364" s="499"/>
      <c r="Q1364" s="499"/>
    </row>
    <row r="1365" spans="1:17" ht="14.4" x14ac:dyDescent="0.3">
      <c r="A1365" s="502">
        <v>4420390</v>
      </c>
      <c r="B1365" s="503" t="s">
        <v>458</v>
      </c>
      <c r="C1365" s="514">
        <v>31275.25</v>
      </c>
      <c r="D1365" s="514">
        <v>36403.31</v>
      </c>
      <c r="E1365" s="514">
        <v>33793.730000000003</v>
      </c>
      <c r="F1365" s="514">
        <v>32733.29</v>
      </c>
      <c r="G1365" s="514">
        <v>31096.48</v>
      </c>
      <c r="H1365" s="514">
        <v>24914.59</v>
      </c>
      <c r="I1365" s="514">
        <v>30615.67</v>
      </c>
      <c r="J1365" s="514">
        <v>31200.21</v>
      </c>
      <c r="K1365" s="514">
        <v>28872.28</v>
      </c>
      <c r="L1365" s="514">
        <v>31307.7</v>
      </c>
      <c r="M1365" s="514">
        <v>35450.129999999997</v>
      </c>
      <c r="N1365" s="514">
        <v>29809.47</v>
      </c>
      <c r="O1365" s="499"/>
      <c r="P1365" s="499"/>
      <c r="Q1365" s="499"/>
    </row>
    <row r="1366" spans="1:17" ht="14.4" x14ac:dyDescent="0.3">
      <c r="A1366" s="502">
        <v>4420391</v>
      </c>
      <c r="B1366" s="503" t="s">
        <v>460</v>
      </c>
      <c r="C1366" s="514">
        <v>33331</v>
      </c>
      <c r="D1366" s="514">
        <v>34714</v>
      </c>
      <c r="E1366" s="514">
        <v>34177</v>
      </c>
      <c r="F1366" s="514">
        <v>34357</v>
      </c>
      <c r="G1366" s="514">
        <v>32797</v>
      </c>
      <c r="H1366" s="514">
        <v>32290</v>
      </c>
      <c r="I1366" s="514">
        <v>33425</v>
      </c>
      <c r="J1366" s="514">
        <v>33151</v>
      </c>
      <c r="K1366" s="514">
        <v>33068</v>
      </c>
      <c r="L1366" s="514">
        <v>33011</v>
      </c>
      <c r="M1366" s="514">
        <v>34705</v>
      </c>
      <c r="N1366" s="514">
        <v>33704</v>
      </c>
      <c r="O1366" s="499"/>
      <c r="P1366" s="499"/>
      <c r="Q1366" s="499"/>
    </row>
    <row r="1367" spans="1:17" ht="14.4" x14ac:dyDescent="0.3">
      <c r="A1367" s="502">
        <v>4420392</v>
      </c>
      <c r="B1367" s="503" t="s">
        <v>462</v>
      </c>
      <c r="C1367" s="514">
        <v>0</v>
      </c>
      <c r="D1367" s="514">
        <v>0</v>
      </c>
      <c r="E1367" s="514">
        <v>0</v>
      </c>
      <c r="F1367" s="514">
        <v>0</v>
      </c>
      <c r="G1367" s="514">
        <v>0</v>
      </c>
      <c r="H1367" s="514">
        <v>0</v>
      </c>
      <c r="I1367" s="514">
        <v>0</v>
      </c>
      <c r="J1367" s="514">
        <v>0</v>
      </c>
      <c r="K1367" s="514">
        <v>0</v>
      </c>
      <c r="L1367" s="514">
        <v>0</v>
      </c>
      <c r="M1367" s="514">
        <v>0</v>
      </c>
      <c r="N1367" s="514">
        <v>0</v>
      </c>
      <c r="O1367" s="499"/>
      <c r="P1367" s="499"/>
      <c r="Q1367" s="499"/>
    </row>
    <row r="1368" spans="1:17" ht="14.4" x14ac:dyDescent="0.3">
      <c r="A1368" s="502">
        <v>4420410</v>
      </c>
      <c r="B1368" s="503" t="s">
        <v>468</v>
      </c>
      <c r="C1368" s="514">
        <v>0</v>
      </c>
      <c r="D1368" s="514">
        <v>0</v>
      </c>
      <c r="E1368" s="514">
        <v>0</v>
      </c>
      <c r="F1368" s="514">
        <v>0</v>
      </c>
      <c r="G1368" s="514">
        <v>0</v>
      </c>
      <c r="H1368" s="514">
        <v>0</v>
      </c>
      <c r="I1368" s="514">
        <v>0</v>
      </c>
      <c r="J1368" s="514">
        <v>0</v>
      </c>
      <c r="K1368" s="514">
        <v>0</v>
      </c>
      <c r="L1368" s="514">
        <v>0</v>
      </c>
      <c r="M1368" s="514">
        <v>0</v>
      </c>
      <c r="N1368" s="514">
        <v>0</v>
      </c>
      <c r="O1368" s="499"/>
      <c r="P1368" s="499"/>
      <c r="Q1368" s="499"/>
    </row>
    <row r="1369" spans="1:17" ht="14.4" x14ac:dyDescent="0.3">
      <c r="A1369" s="502">
        <v>4420420</v>
      </c>
      <c r="B1369" s="503" t="s">
        <v>470</v>
      </c>
      <c r="C1369" s="514">
        <v>0</v>
      </c>
      <c r="D1369" s="514">
        <v>0</v>
      </c>
      <c r="E1369" s="514">
        <v>0</v>
      </c>
      <c r="F1369" s="514">
        <v>0</v>
      </c>
      <c r="G1369" s="514">
        <v>0</v>
      </c>
      <c r="H1369" s="514">
        <v>0</v>
      </c>
      <c r="I1369" s="514">
        <v>0</v>
      </c>
      <c r="J1369" s="514">
        <v>0</v>
      </c>
      <c r="K1369" s="514">
        <v>0</v>
      </c>
      <c r="L1369" s="514">
        <v>0</v>
      </c>
      <c r="M1369" s="514">
        <v>0</v>
      </c>
      <c r="N1369" s="514">
        <v>0</v>
      </c>
      <c r="O1369" s="499"/>
      <c r="P1369" s="499"/>
      <c r="Q1369" s="499"/>
    </row>
    <row r="1370" spans="1:17" ht="14.4" x14ac:dyDescent="0.3">
      <c r="A1370" s="502">
        <v>4420430</v>
      </c>
      <c r="B1370" s="503" t="s">
        <v>472</v>
      </c>
      <c r="C1370" s="514">
        <v>0</v>
      </c>
      <c r="D1370" s="514">
        <v>0</v>
      </c>
      <c r="E1370" s="514">
        <v>0</v>
      </c>
      <c r="F1370" s="514">
        <v>0</v>
      </c>
      <c r="G1370" s="514">
        <v>0</v>
      </c>
      <c r="H1370" s="514">
        <v>0</v>
      </c>
      <c r="I1370" s="514">
        <v>0</v>
      </c>
      <c r="J1370" s="514">
        <v>0</v>
      </c>
      <c r="K1370" s="514">
        <v>0</v>
      </c>
      <c r="L1370" s="514">
        <v>0</v>
      </c>
      <c r="M1370" s="514">
        <v>0</v>
      </c>
      <c r="N1370" s="514">
        <v>0</v>
      </c>
      <c r="O1370" s="499"/>
      <c r="P1370" s="499"/>
      <c r="Q1370" s="499"/>
    </row>
    <row r="1371" spans="1:17" ht="14.4" x14ac:dyDescent="0.3">
      <c r="A1371" s="502">
        <v>4420440</v>
      </c>
      <c r="B1371" s="503" t="s">
        <v>474</v>
      </c>
      <c r="C1371" s="514">
        <v>0</v>
      </c>
      <c r="D1371" s="514">
        <v>0</v>
      </c>
      <c r="E1371" s="514">
        <v>0</v>
      </c>
      <c r="F1371" s="514">
        <v>0</v>
      </c>
      <c r="G1371" s="514">
        <v>0</v>
      </c>
      <c r="H1371" s="514">
        <v>0</v>
      </c>
      <c r="I1371" s="514">
        <v>0</v>
      </c>
      <c r="J1371" s="514">
        <v>0</v>
      </c>
      <c r="K1371" s="514">
        <v>0</v>
      </c>
      <c r="L1371" s="514">
        <v>0</v>
      </c>
      <c r="M1371" s="514">
        <v>0</v>
      </c>
      <c r="N1371" s="514">
        <v>0</v>
      </c>
      <c r="O1371" s="499"/>
      <c r="P1371" s="499"/>
      <c r="Q1371" s="499"/>
    </row>
    <row r="1372" spans="1:17" ht="14.4" x14ac:dyDescent="0.3">
      <c r="A1372" s="502">
        <v>4420450</v>
      </c>
      <c r="B1372" s="503" t="s">
        <v>476</v>
      </c>
      <c r="C1372" s="514">
        <v>0</v>
      </c>
      <c r="D1372" s="514">
        <v>0</v>
      </c>
      <c r="E1372" s="514">
        <v>0</v>
      </c>
      <c r="F1372" s="514">
        <v>0</v>
      </c>
      <c r="G1372" s="514">
        <v>0</v>
      </c>
      <c r="H1372" s="514">
        <v>0</v>
      </c>
      <c r="I1372" s="514">
        <v>0</v>
      </c>
      <c r="J1372" s="514">
        <v>0</v>
      </c>
      <c r="K1372" s="514">
        <v>0</v>
      </c>
      <c r="L1372" s="514">
        <v>0</v>
      </c>
      <c r="M1372" s="514">
        <v>0</v>
      </c>
      <c r="N1372" s="514">
        <v>0</v>
      </c>
      <c r="O1372" s="499"/>
      <c r="P1372" s="499"/>
      <c r="Q1372" s="499"/>
    </row>
    <row r="1373" spans="1:17" ht="14.4" x14ac:dyDescent="0.3">
      <c r="A1373" s="502">
        <v>4420460</v>
      </c>
      <c r="B1373" s="503" t="s">
        <v>478</v>
      </c>
      <c r="C1373" s="514">
        <v>0</v>
      </c>
      <c r="D1373" s="514">
        <v>0</v>
      </c>
      <c r="E1373" s="514">
        <v>0</v>
      </c>
      <c r="F1373" s="514">
        <v>0</v>
      </c>
      <c r="G1373" s="514">
        <v>0</v>
      </c>
      <c r="H1373" s="514">
        <v>0</v>
      </c>
      <c r="I1373" s="514">
        <v>0</v>
      </c>
      <c r="J1373" s="514">
        <v>0</v>
      </c>
      <c r="K1373" s="514">
        <v>0</v>
      </c>
      <c r="L1373" s="514">
        <v>0</v>
      </c>
      <c r="M1373" s="514">
        <v>0</v>
      </c>
      <c r="N1373" s="514">
        <v>0</v>
      </c>
      <c r="O1373" s="499"/>
      <c r="P1373" s="499"/>
      <c r="Q1373" s="499"/>
    </row>
    <row r="1374" spans="1:17" ht="14.4" x14ac:dyDescent="0.3">
      <c r="A1374" s="502">
        <v>4420470</v>
      </c>
      <c r="B1374" s="503" t="s">
        <v>480</v>
      </c>
      <c r="C1374" s="514">
        <v>0</v>
      </c>
      <c r="D1374" s="514">
        <v>0</v>
      </c>
      <c r="E1374" s="514">
        <v>0</v>
      </c>
      <c r="F1374" s="514">
        <v>0</v>
      </c>
      <c r="G1374" s="514">
        <v>0</v>
      </c>
      <c r="H1374" s="514">
        <v>0</v>
      </c>
      <c r="I1374" s="514">
        <v>0</v>
      </c>
      <c r="J1374" s="514">
        <v>0</v>
      </c>
      <c r="K1374" s="514">
        <v>0</v>
      </c>
      <c r="L1374" s="514">
        <v>0</v>
      </c>
      <c r="M1374" s="514">
        <v>0</v>
      </c>
      <c r="N1374" s="514">
        <v>0</v>
      </c>
      <c r="O1374" s="499"/>
      <c r="P1374" s="499"/>
      <c r="Q1374" s="499"/>
    </row>
    <row r="1375" spans="1:17" ht="14.4" x14ac:dyDescent="0.3">
      <c r="A1375" s="502">
        <v>4420480</v>
      </c>
      <c r="B1375" s="503" t="s">
        <v>3073</v>
      </c>
      <c r="C1375" s="514">
        <v>0</v>
      </c>
      <c r="D1375" s="514">
        <v>0</v>
      </c>
      <c r="E1375" s="514">
        <v>0</v>
      </c>
      <c r="F1375" s="514">
        <v>0</v>
      </c>
      <c r="G1375" s="514">
        <v>0</v>
      </c>
      <c r="H1375" s="514">
        <v>0</v>
      </c>
      <c r="I1375" s="514">
        <v>0</v>
      </c>
      <c r="J1375" s="514">
        <v>0</v>
      </c>
      <c r="K1375" s="514">
        <v>0</v>
      </c>
      <c r="L1375" s="514">
        <v>0</v>
      </c>
      <c r="M1375" s="514">
        <v>0</v>
      </c>
      <c r="N1375" s="514">
        <v>0</v>
      </c>
      <c r="O1375" s="499"/>
      <c r="P1375" s="499"/>
      <c r="Q1375" s="499"/>
    </row>
    <row r="1376" spans="1:17" ht="14.4" x14ac:dyDescent="0.3">
      <c r="A1376" s="502">
        <v>4420490</v>
      </c>
      <c r="B1376" s="503" t="s">
        <v>482</v>
      </c>
      <c r="C1376" s="514">
        <v>0</v>
      </c>
      <c r="D1376" s="514">
        <v>0</v>
      </c>
      <c r="E1376" s="514">
        <v>0</v>
      </c>
      <c r="F1376" s="514">
        <v>0</v>
      </c>
      <c r="G1376" s="514">
        <v>0</v>
      </c>
      <c r="H1376" s="514">
        <v>0</v>
      </c>
      <c r="I1376" s="514">
        <v>0</v>
      </c>
      <c r="J1376" s="514">
        <v>0</v>
      </c>
      <c r="K1376" s="514">
        <v>0</v>
      </c>
      <c r="L1376" s="514">
        <v>0</v>
      </c>
      <c r="M1376" s="514">
        <v>0</v>
      </c>
      <c r="N1376" s="514">
        <v>0</v>
      </c>
      <c r="O1376" s="499"/>
      <c r="P1376" s="499"/>
      <c r="Q1376" s="499"/>
    </row>
    <row r="1377" spans="1:17" ht="14.4" x14ac:dyDescent="0.3">
      <c r="A1377" s="502">
        <v>4420491</v>
      </c>
      <c r="B1377" s="503" t="s">
        <v>484</v>
      </c>
      <c r="C1377" s="514">
        <v>0</v>
      </c>
      <c r="D1377" s="514">
        <v>0</v>
      </c>
      <c r="E1377" s="514">
        <v>0</v>
      </c>
      <c r="F1377" s="514">
        <v>0</v>
      </c>
      <c r="G1377" s="514">
        <v>0</v>
      </c>
      <c r="H1377" s="514">
        <v>0</v>
      </c>
      <c r="I1377" s="514">
        <v>0</v>
      </c>
      <c r="J1377" s="514">
        <v>0</v>
      </c>
      <c r="K1377" s="514">
        <v>0</v>
      </c>
      <c r="L1377" s="514">
        <v>0</v>
      </c>
      <c r="M1377" s="514">
        <v>0</v>
      </c>
      <c r="N1377" s="514">
        <v>0</v>
      </c>
      <c r="O1377" s="499"/>
      <c r="P1377" s="499"/>
      <c r="Q1377" s="499"/>
    </row>
    <row r="1378" spans="1:17" ht="14.4" x14ac:dyDescent="0.3">
      <c r="A1378" s="502">
        <v>4420492</v>
      </c>
      <c r="B1378" s="503" t="s">
        <v>486</v>
      </c>
      <c r="C1378" s="514">
        <v>0</v>
      </c>
      <c r="D1378" s="514">
        <v>0</v>
      </c>
      <c r="E1378" s="514">
        <v>0</v>
      </c>
      <c r="F1378" s="514">
        <v>0</v>
      </c>
      <c r="G1378" s="514">
        <v>0</v>
      </c>
      <c r="H1378" s="514">
        <v>0</v>
      </c>
      <c r="I1378" s="514">
        <v>0</v>
      </c>
      <c r="J1378" s="514">
        <v>0</v>
      </c>
      <c r="K1378" s="514">
        <v>0</v>
      </c>
      <c r="L1378" s="514">
        <v>0</v>
      </c>
      <c r="M1378" s="514">
        <v>0</v>
      </c>
      <c r="N1378" s="514">
        <v>0</v>
      </c>
      <c r="O1378" s="499"/>
      <c r="P1378" s="499"/>
      <c r="Q1378" s="499"/>
    </row>
    <row r="1379" spans="1:17" ht="14.4" x14ac:dyDescent="0.3">
      <c r="A1379" s="502">
        <v>4420510</v>
      </c>
      <c r="B1379" s="503" t="s">
        <v>490</v>
      </c>
      <c r="C1379" s="514">
        <v>3769577</v>
      </c>
      <c r="D1379" s="514">
        <v>3762172</v>
      </c>
      <c r="E1379" s="514">
        <v>3864574</v>
      </c>
      <c r="F1379" s="514">
        <v>4080293</v>
      </c>
      <c r="G1379" s="514">
        <v>4195675</v>
      </c>
      <c r="H1379" s="514">
        <v>4179724</v>
      </c>
      <c r="I1379" s="514">
        <v>4207103</v>
      </c>
      <c r="J1379" s="514">
        <v>4182398</v>
      </c>
      <c r="K1379" s="514">
        <v>4113012</v>
      </c>
      <c r="L1379" s="514">
        <v>4100125</v>
      </c>
      <c r="M1379" s="514">
        <v>3879692</v>
      </c>
      <c r="N1379" s="514">
        <v>3833047</v>
      </c>
      <c r="O1379" s="499"/>
      <c r="P1379" s="499"/>
      <c r="Q1379" s="499"/>
    </row>
    <row r="1380" spans="1:17" ht="14.4" x14ac:dyDescent="0.3">
      <c r="A1380" s="502">
        <v>4420520</v>
      </c>
      <c r="B1380" s="503" t="s">
        <v>492</v>
      </c>
      <c r="C1380" s="514">
        <v>3209634</v>
      </c>
      <c r="D1380" s="514">
        <v>3081820</v>
      </c>
      <c r="E1380" s="514">
        <v>3243162</v>
      </c>
      <c r="F1380" s="514">
        <v>3431023</v>
      </c>
      <c r="G1380" s="514">
        <v>3519126</v>
      </c>
      <c r="H1380" s="514">
        <v>3532399</v>
      </c>
      <c r="I1380" s="514">
        <v>3581423</v>
      </c>
      <c r="J1380" s="514">
        <v>3534912</v>
      </c>
      <c r="K1380" s="514">
        <v>3554777</v>
      </c>
      <c r="L1380" s="514">
        <v>3402763</v>
      </c>
      <c r="M1380" s="514">
        <v>3243090</v>
      </c>
      <c r="N1380" s="514">
        <v>3240551</v>
      </c>
      <c r="O1380" s="499"/>
      <c r="P1380" s="499"/>
      <c r="Q1380" s="499"/>
    </row>
    <row r="1381" spans="1:17" ht="14.4" x14ac:dyDescent="0.3">
      <c r="A1381" s="502">
        <v>4420530</v>
      </c>
      <c r="B1381" s="503" t="s">
        <v>494</v>
      </c>
      <c r="C1381" s="514">
        <v>13680</v>
      </c>
      <c r="D1381" s="514">
        <v>13948</v>
      </c>
      <c r="E1381" s="514">
        <v>14234</v>
      </c>
      <c r="F1381" s="514">
        <v>14421</v>
      </c>
      <c r="G1381" s="514">
        <v>15257</v>
      </c>
      <c r="H1381" s="514">
        <v>15314</v>
      </c>
      <c r="I1381" s="514">
        <v>15504</v>
      </c>
      <c r="J1381" s="514">
        <v>15586</v>
      </c>
      <c r="K1381" s="514">
        <v>15084</v>
      </c>
      <c r="L1381" s="514">
        <v>15266</v>
      </c>
      <c r="M1381" s="514">
        <v>14430</v>
      </c>
      <c r="N1381" s="514">
        <v>14134</v>
      </c>
      <c r="O1381" s="499"/>
      <c r="P1381" s="499"/>
      <c r="Q1381" s="499"/>
    </row>
    <row r="1382" spans="1:17" ht="14.4" x14ac:dyDescent="0.3">
      <c r="A1382" s="502">
        <v>4420540</v>
      </c>
      <c r="B1382" s="503" t="s">
        <v>496</v>
      </c>
      <c r="C1382" s="514">
        <v>226658</v>
      </c>
      <c r="D1382" s="514">
        <v>231161</v>
      </c>
      <c r="E1382" s="514">
        <v>235898</v>
      </c>
      <c r="F1382" s="514">
        <v>239064</v>
      </c>
      <c r="G1382" s="514">
        <v>252930</v>
      </c>
      <c r="H1382" s="514">
        <v>253701</v>
      </c>
      <c r="I1382" s="514">
        <v>256699</v>
      </c>
      <c r="J1382" s="514">
        <v>258004</v>
      </c>
      <c r="K1382" s="514">
        <v>249927</v>
      </c>
      <c r="L1382" s="514">
        <v>252755</v>
      </c>
      <c r="M1382" s="514">
        <v>239050</v>
      </c>
      <c r="N1382" s="514">
        <v>234300</v>
      </c>
      <c r="O1382" s="499"/>
      <c r="P1382" s="499"/>
      <c r="Q1382" s="499"/>
    </row>
    <row r="1383" spans="1:17" ht="14.4" x14ac:dyDescent="0.3">
      <c r="A1383" s="502">
        <v>4420550</v>
      </c>
      <c r="B1383" s="503" t="s">
        <v>498</v>
      </c>
      <c r="C1383" s="514">
        <v>73493</v>
      </c>
      <c r="D1383" s="514">
        <v>70681</v>
      </c>
      <c r="E1383" s="514">
        <v>74190</v>
      </c>
      <c r="F1383" s="514">
        <v>78554</v>
      </c>
      <c r="G1383" s="514">
        <v>80612</v>
      </c>
      <c r="H1383" s="514">
        <v>81090</v>
      </c>
      <c r="I1383" s="514">
        <v>82213</v>
      </c>
      <c r="J1383" s="514">
        <v>81143</v>
      </c>
      <c r="K1383" s="514">
        <v>81713</v>
      </c>
      <c r="L1383" s="514">
        <v>78062</v>
      </c>
      <c r="M1383" s="514">
        <v>74467</v>
      </c>
      <c r="N1383" s="514">
        <v>74264</v>
      </c>
      <c r="O1383" s="499"/>
      <c r="P1383" s="499"/>
      <c r="Q1383" s="499"/>
    </row>
    <row r="1384" spans="1:17" ht="14.4" x14ac:dyDescent="0.3">
      <c r="A1384" s="502">
        <v>4420560</v>
      </c>
      <c r="B1384" s="503" t="s">
        <v>500</v>
      </c>
      <c r="C1384" s="514">
        <v>320554.67</v>
      </c>
      <c r="D1384" s="514">
        <v>315098.43</v>
      </c>
      <c r="E1384" s="514">
        <v>326672.02</v>
      </c>
      <c r="F1384" s="514">
        <v>344449.96</v>
      </c>
      <c r="G1384" s="514">
        <v>354866.75</v>
      </c>
      <c r="H1384" s="514">
        <v>354940.4</v>
      </c>
      <c r="I1384" s="514">
        <v>358495.39</v>
      </c>
      <c r="J1384" s="514">
        <v>355552.68</v>
      </c>
      <c r="K1384" s="514">
        <v>352740.21</v>
      </c>
      <c r="L1384" s="514">
        <v>345748.3</v>
      </c>
      <c r="M1384" s="514">
        <v>328191.96000000002</v>
      </c>
      <c r="N1384" s="514">
        <v>325495.77</v>
      </c>
      <c r="O1384" s="499"/>
      <c r="P1384" s="499"/>
      <c r="Q1384" s="499"/>
    </row>
    <row r="1385" spans="1:17" ht="14.4" x14ac:dyDescent="0.3">
      <c r="A1385" s="502">
        <v>4420570</v>
      </c>
      <c r="B1385" s="503" t="s">
        <v>502</v>
      </c>
      <c r="C1385" s="514">
        <v>194996.51</v>
      </c>
      <c r="D1385" s="514">
        <v>191677.43</v>
      </c>
      <c r="E1385" s="514">
        <v>198717.75</v>
      </c>
      <c r="F1385" s="514">
        <v>209532.24</v>
      </c>
      <c r="G1385" s="514">
        <v>215868.88</v>
      </c>
      <c r="H1385" s="514">
        <v>215913.68</v>
      </c>
      <c r="I1385" s="514">
        <v>218076.21</v>
      </c>
      <c r="J1385" s="514">
        <v>216286.14</v>
      </c>
      <c r="K1385" s="514">
        <v>214575.28</v>
      </c>
      <c r="L1385" s="514">
        <v>210322.04</v>
      </c>
      <c r="M1385" s="514">
        <v>199642.34</v>
      </c>
      <c r="N1385" s="514">
        <v>198002.23</v>
      </c>
      <c r="O1385" s="499"/>
      <c r="P1385" s="499"/>
      <c r="Q1385" s="499"/>
    </row>
    <row r="1386" spans="1:17" ht="14.4" x14ac:dyDescent="0.3">
      <c r="A1386" s="502">
        <v>4420580</v>
      </c>
      <c r="B1386" s="503" t="s">
        <v>504</v>
      </c>
      <c r="C1386" s="514">
        <v>0</v>
      </c>
      <c r="D1386" s="514">
        <v>0</v>
      </c>
      <c r="E1386" s="514">
        <v>0</v>
      </c>
      <c r="F1386" s="514">
        <v>0</v>
      </c>
      <c r="G1386" s="514">
        <v>0</v>
      </c>
      <c r="H1386" s="514">
        <v>0</v>
      </c>
      <c r="I1386" s="514">
        <v>0</v>
      </c>
      <c r="J1386" s="514">
        <v>0</v>
      </c>
      <c r="K1386" s="514">
        <v>0</v>
      </c>
      <c r="L1386" s="514">
        <v>0</v>
      </c>
      <c r="M1386" s="514">
        <v>0</v>
      </c>
      <c r="N1386" s="514">
        <v>0</v>
      </c>
      <c r="O1386" s="499"/>
      <c r="P1386" s="499"/>
      <c r="Q1386" s="499"/>
    </row>
    <row r="1387" spans="1:17" ht="14.4" x14ac:dyDescent="0.3">
      <c r="A1387" s="502">
        <v>4420590</v>
      </c>
      <c r="B1387" s="503" t="s">
        <v>506</v>
      </c>
      <c r="C1387" s="514">
        <v>166773.26999999999</v>
      </c>
      <c r="D1387" s="514">
        <v>166943.44</v>
      </c>
      <c r="E1387" s="514">
        <v>167817.13</v>
      </c>
      <c r="F1387" s="514">
        <v>173502.85</v>
      </c>
      <c r="G1387" s="514">
        <v>188864.46</v>
      </c>
      <c r="H1387" s="514">
        <v>188872.48</v>
      </c>
      <c r="I1387" s="514">
        <v>190199.62</v>
      </c>
      <c r="J1387" s="514">
        <v>190635.74</v>
      </c>
      <c r="K1387" s="514">
        <v>187132.85</v>
      </c>
      <c r="L1387" s="514">
        <v>186363.39</v>
      </c>
      <c r="M1387" s="514">
        <v>179945.60000000001</v>
      </c>
      <c r="N1387" s="514">
        <v>174681.04</v>
      </c>
      <c r="O1387" s="499"/>
      <c r="P1387" s="499"/>
      <c r="Q1387" s="499"/>
    </row>
    <row r="1388" spans="1:17" ht="14.4" x14ac:dyDescent="0.3">
      <c r="A1388" s="502">
        <v>4420591</v>
      </c>
      <c r="B1388" s="503" t="s">
        <v>508</v>
      </c>
      <c r="C1388" s="514">
        <v>207803</v>
      </c>
      <c r="D1388" s="514">
        <v>211448</v>
      </c>
      <c r="E1388" s="514">
        <v>212872</v>
      </c>
      <c r="F1388" s="514">
        <v>217653</v>
      </c>
      <c r="G1388" s="514">
        <v>229177</v>
      </c>
      <c r="H1388" s="514">
        <v>232288</v>
      </c>
      <c r="I1388" s="514">
        <v>234588</v>
      </c>
      <c r="J1388" s="514">
        <v>235236</v>
      </c>
      <c r="K1388" s="514">
        <v>229545</v>
      </c>
      <c r="L1388" s="514">
        <v>229981</v>
      </c>
      <c r="M1388" s="514">
        <v>218131</v>
      </c>
      <c r="N1388" s="514">
        <v>213865</v>
      </c>
      <c r="O1388" s="499"/>
      <c r="P1388" s="499"/>
      <c r="Q1388" s="499"/>
    </row>
    <row r="1389" spans="1:17" ht="14.4" x14ac:dyDescent="0.3">
      <c r="A1389" s="502">
        <v>4420592</v>
      </c>
      <c r="B1389" s="503" t="s">
        <v>510</v>
      </c>
      <c r="C1389" s="514">
        <v>0</v>
      </c>
      <c r="D1389" s="514">
        <v>0</v>
      </c>
      <c r="E1389" s="514">
        <v>0</v>
      </c>
      <c r="F1389" s="514">
        <v>0</v>
      </c>
      <c r="G1389" s="514">
        <v>0</v>
      </c>
      <c r="H1389" s="514">
        <v>0</v>
      </c>
      <c r="I1389" s="514">
        <v>0</v>
      </c>
      <c r="J1389" s="514">
        <v>0</v>
      </c>
      <c r="K1389" s="514">
        <v>0</v>
      </c>
      <c r="L1389" s="514">
        <v>0</v>
      </c>
      <c r="M1389" s="514">
        <v>0</v>
      </c>
      <c r="N1389" s="514">
        <v>0</v>
      </c>
      <c r="O1389" s="499"/>
      <c r="P1389" s="499"/>
      <c r="Q1389" s="499"/>
    </row>
    <row r="1390" spans="1:17" ht="14.4" x14ac:dyDescent="0.3">
      <c r="A1390" s="502">
        <v>4440010</v>
      </c>
      <c r="B1390" s="503" t="s">
        <v>515</v>
      </c>
      <c r="C1390" s="514">
        <v>0</v>
      </c>
      <c r="D1390" s="514">
        <v>0</v>
      </c>
      <c r="E1390" s="514">
        <v>0</v>
      </c>
      <c r="F1390" s="514">
        <v>0</v>
      </c>
      <c r="G1390" s="514">
        <v>0</v>
      </c>
      <c r="H1390" s="514">
        <v>0</v>
      </c>
      <c r="I1390" s="514">
        <v>0</v>
      </c>
      <c r="J1390" s="514">
        <v>0</v>
      </c>
      <c r="K1390" s="514">
        <v>0</v>
      </c>
      <c r="L1390" s="514">
        <v>0</v>
      </c>
      <c r="M1390" s="514">
        <v>0</v>
      </c>
      <c r="N1390" s="514">
        <v>0</v>
      </c>
      <c r="O1390" s="499"/>
      <c r="P1390" s="499"/>
      <c r="Q1390" s="499"/>
    </row>
    <row r="1391" spans="1:17" ht="14.4" x14ac:dyDescent="0.3">
      <c r="A1391" s="502">
        <v>4440020</v>
      </c>
      <c r="B1391" s="503" t="s">
        <v>517</v>
      </c>
      <c r="C1391" s="514">
        <v>0</v>
      </c>
      <c r="D1391" s="514">
        <v>0</v>
      </c>
      <c r="E1391" s="514">
        <v>0</v>
      </c>
      <c r="F1391" s="514">
        <v>0</v>
      </c>
      <c r="G1391" s="514">
        <v>0</v>
      </c>
      <c r="H1391" s="514">
        <v>0</v>
      </c>
      <c r="I1391" s="514">
        <v>0</v>
      </c>
      <c r="J1391" s="514">
        <v>0</v>
      </c>
      <c r="K1391" s="514">
        <v>0</v>
      </c>
      <c r="L1391" s="514">
        <v>0</v>
      </c>
      <c r="M1391" s="514">
        <v>0</v>
      </c>
      <c r="N1391" s="514">
        <v>0</v>
      </c>
      <c r="O1391" s="499"/>
      <c r="P1391" s="499"/>
      <c r="Q1391" s="499"/>
    </row>
    <row r="1392" spans="1:17" ht="14.4" x14ac:dyDescent="0.3">
      <c r="A1392" s="502">
        <v>4440030</v>
      </c>
      <c r="B1392" s="503" t="s">
        <v>519</v>
      </c>
      <c r="C1392" s="514">
        <v>0</v>
      </c>
      <c r="D1392" s="514">
        <v>0</v>
      </c>
      <c r="E1392" s="514">
        <v>0</v>
      </c>
      <c r="F1392" s="514">
        <v>0</v>
      </c>
      <c r="G1392" s="514">
        <v>0</v>
      </c>
      <c r="H1392" s="514">
        <v>0</v>
      </c>
      <c r="I1392" s="514">
        <v>0</v>
      </c>
      <c r="J1392" s="514">
        <v>0</v>
      </c>
      <c r="K1392" s="514">
        <v>0</v>
      </c>
      <c r="L1392" s="514">
        <v>0</v>
      </c>
      <c r="M1392" s="514">
        <v>0</v>
      </c>
      <c r="N1392" s="514">
        <v>0</v>
      </c>
      <c r="O1392" s="499"/>
      <c r="P1392" s="499"/>
      <c r="Q1392" s="499"/>
    </row>
    <row r="1393" spans="1:17" ht="14.4" x14ac:dyDescent="0.3">
      <c r="A1393" s="502">
        <v>4440040</v>
      </c>
      <c r="B1393" s="503" t="s">
        <v>521</v>
      </c>
      <c r="C1393" s="514">
        <v>0</v>
      </c>
      <c r="D1393" s="514">
        <v>0</v>
      </c>
      <c r="E1393" s="514">
        <v>0</v>
      </c>
      <c r="F1393" s="514">
        <v>0</v>
      </c>
      <c r="G1393" s="514">
        <v>0</v>
      </c>
      <c r="H1393" s="514">
        <v>0</v>
      </c>
      <c r="I1393" s="514">
        <v>0</v>
      </c>
      <c r="J1393" s="514">
        <v>0</v>
      </c>
      <c r="K1393" s="514">
        <v>0</v>
      </c>
      <c r="L1393" s="514">
        <v>0</v>
      </c>
      <c r="M1393" s="514">
        <v>0</v>
      </c>
      <c r="N1393" s="514">
        <v>0</v>
      </c>
      <c r="O1393" s="499"/>
      <c r="P1393" s="499"/>
      <c r="Q1393" s="499"/>
    </row>
    <row r="1394" spans="1:17" ht="14.4" x14ac:dyDescent="0.3">
      <c r="A1394" s="502">
        <v>4440050</v>
      </c>
      <c r="B1394" s="503" t="s">
        <v>523</v>
      </c>
      <c r="C1394" s="514">
        <v>0</v>
      </c>
      <c r="D1394" s="514">
        <v>0</v>
      </c>
      <c r="E1394" s="514">
        <v>0</v>
      </c>
      <c r="F1394" s="514">
        <v>0</v>
      </c>
      <c r="G1394" s="514">
        <v>0</v>
      </c>
      <c r="H1394" s="514">
        <v>0</v>
      </c>
      <c r="I1394" s="514">
        <v>0</v>
      </c>
      <c r="J1394" s="514">
        <v>0</v>
      </c>
      <c r="K1394" s="514">
        <v>0</v>
      </c>
      <c r="L1394" s="514">
        <v>0</v>
      </c>
      <c r="M1394" s="514">
        <v>0</v>
      </c>
      <c r="N1394" s="514">
        <v>0</v>
      </c>
      <c r="O1394" s="499"/>
      <c r="P1394" s="499"/>
      <c r="Q1394" s="499"/>
    </row>
    <row r="1395" spans="1:17" ht="14.4" x14ac:dyDescent="0.3">
      <c r="A1395" s="502">
        <v>4440060</v>
      </c>
      <c r="B1395" s="503" t="s">
        <v>525</v>
      </c>
      <c r="C1395" s="514">
        <v>0</v>
      </c>
      <c r="D1395" s="514">
        <v>0</v>
      </c>
      <c r="E1395" s="514">
        <v>0</v>
      </c>
      <c r="F1395" s="514">
        <v>0</v>
      </c>
      <c r="G1395" s="514">
        <v>0</v>
      </c>
      <c r="H1395" s="514">
        <v>0</v>
      </c>
      <c r="I1395" s="514">
        <v>0</v>
      </c>
      <c r="J1395" s="514">
        <v>0</v>
      </c>
      <c r="K1395" s="514">
        <v>0</v>
      </c>
      <c r="L1395" s="514">
        <v>0</v>
      </c>
      <c r="M1395" s="514">
        <v>0</v>
      </c>
      <c r="N1395" s="514">
        <v>0</v>
      </c>
      <c r="O1395" s="499"/>
      <c r="P1395" s="499"/>
      <c r="Q1395" s="499"/>
    </row>
    <row r="1396" spans="1:17" ht="14.4" x14ac:dyDescent="0.3">
      <c r="A1396" s="502">
        <v>4440070</v>
      </c>
      <c r="B1396" s="503" t="s">
        <v>527</v>
      </c>
      <c r="C1396" s="514">
        <v>0</v>
      </c>
      <c r="D1396" s="514">
        <v>0</v>
      </c>
      <c r="E1396" s="514">
        <v>0</v>
      </c>
      <c r="F1396" s="514">
        <v>0</v>
      </c>
      <c r="G1396" s="514">
        <v>0</v>
      </c>
      <c r="H1396" s="514">
        <v>0</v>
      </c>
      <c r="I1396" s="514">
        <v>0</v>
      </c>
      <c r="J1396" s="514">
        <v>0</v>
      </c>
      <c r="K1396" s="514">
        <v>0</v>
      </c>
      <c r="L1396" s="514">
        <v>0</v>
      </c>
      <c r="M1396" s="514">
        <v>0</v>
      </c>
      <c r="N1396" s="514">
        <v>0</v>
      </c>
      <c r="O1396" s="499"/>
      <c r="P1396" s="499"/>
      <c r="Q1396" s="499"/>
    </row>
    <row r="1397" spans="1:17" ht="14.4" x14ac:dyDescent="0.3">
      <c r="A1397" s="502">
        <v>4440090</v>
      </c>
      <c r="B1397" s="503" t="s">
        <v>529</v>
      </c>
      <c r="C1397" s="514">
        <v>0</v>
      </c>
      <c r="D1397" s="514">
        <v>0</v>
      </c>
      <c r="E1397" s="514">
        <v>0</v>
      </c>
      <c r="F1397" s="514">
        <v>0</v>
      </c>
      <c r="G1397" s="514">
        <v>0</v>
      </c>
      <c r="H1397" s="514">
        <v>0</v>
      </c>
      <c r="I1397" s="514">
        <v>0</v>
      </c>
      <c r="J1397" s="514">
        <v>0</v>
      </c>
      <c r="K1397" s="514">
        <v>0</v>
      </c>
      <c r="L1397" s="514">
        <v>0</v>
      </c>
      <c r="M1397" s="514">
        <v>0</v>
      </c>
      <c r="N1397" s="514">
        <v>0</v>
      </c>
      <c r="O1397" s="499"/>
      <c r="P1397" s="499"/>
      <c r="Q1397" s="499"/>
    </row>
    <row r="1398" spans="1:17" ht="14.4" x14ac:dyDescent="0.3">
      <c r="A1398" s="502">
        <v>4440091</v>
      </c>
      <c r="B1398" s="503" t="s">
        <v>531</v>
      </c>
      <c r="C1398" s="514">
        <v>0</v>
      </c>
      <c r="D1398" s="514">
        <v>0</v>
      </c>
      <c r="E1398" s="514">
        <v>0</v>
      </c>
      <c r="F1398" s="514">
        <v>0</v>
      </c>
      <c r="G1398" s="514">
        <v>0</v>
      </c>
      <c r="H1398" s="514">
        <v>0</v>
      </c>
      <c r="I1398" s="514">
        <v>0</v>
      </c>
      <c r="J1398" s="514">
        <v>0</v>
      </c>
      <c r="K1398" s="514">
        <v>0</v>
      </c>
      <c r="L1398" s="514">
        <v>0</v>
      </c>
      <c r="M1398" s="514">
        <v>0</v>
      </c>
      <c r="N1398" s="514">
        <v>0</v>
      </c>
      <c r="O1398" s="499"/>
      <c r="P1398" s="499"/>
      <c r="Q1398" s="499"/>
    </row>
    <row r="1399" spans="1:17" ht="14.4" x14ac:dyDescent="0.3">
      <c r="A1399" s="502">
        <v>4440092</v>
      </c>
      <c r="B1399" s="503" t="s">
        <v>533</v>
      </c>
      <c r="C1399" s="514">
        <v>0</v>
      </c>
      <c r="D1399" s="514">
        <v>0</v>
      </c>
      <c r="E1399" s="514">
        <v>0</v>
      </c>
      <c r="F1399" s="514">
        <v>0</v>
      </c>
      <c r="G1399" s="514">
        <v>0</v>
      </c>
      <c r="H1399" s="514">
        <v>0</v>
      </c>
      <c r="I1399" s="514">
        <v>0</v>
      </c>
      <c r="J1399" s="514">
        <v>0</v>
      </c>
      <c r="K1399" s="514">
        <v>0</v>
      </c>
      <c r="L1399" s="514">
        <v>0</v>
      </c>
      <c r="M1399" s="514">
        <v>0</v>
      </c>
      <c r="N1399" s="514">
        <v>0</v>
      </c>
      <c r="O1399" s="499"/>
      <c r="P1399" s="499"/>
      <c r="Q1399" s="499"/>
    </row>
    <row r="1400" spans="1:17" ht="14.4" x14ac:dyDescent="0.3">
      <c r="A1400" s="502">
        <v>4440500</v>
      </c>
      <c r="B1400" s="503" t="s">
        <v>3074</v>
      </c>
      <c r="C1400" s="514">
        <v>0</v>
      </c>
      <c r="D1400" s="514">
        <v>0</v>
      </c>
      <c r="E1400" s="514">
        <v>0</v>
      </c>
      <c r="F1400" s="514">
        <v>0</v>
      </c>
      <c r="G1400" s="514">
        <v>0</v>
      </c>
      <c r="H1400" s="514">
        <v>0</v>
      </c>
      <c r="I1400" s="514">
        <v>0</v>
      </c>
      <c r="J1400" s="514">
        <v>0</v>
      </c>
      <c r="K1400" s="514">
        <v>0</v>
      </c>
      <c r="L1400" s="514">
        <v>0</v>
      </c>
      <c r="M1400" s="514">
        <v>0</v>
      </c>
      <c r="N1400" s="514">
        <v>0</v>
      </c>
      <c r="O1400" s="499"/>
      <c r="P1400" s="499"/>
      <c r="Q1400" s="499"/>
    </row>
    <row r="1401" spans="1:17" ht="14.4" x14ac:dyDescent="0.3">
      <c r="A1401" s="502">
        <v>4440505</v>
      </c>
      <c r="B1401" s="503" t="s">
        <v>3075</v>
      </c>
      <c r="C1401" s="514">
        <v>0</v>
      </c>
      <c r="D1401" s="514">
        <v>0</v>
      </c>
      <c r="E1401" s="514">
        <v>0</v>
      </c>
      <c r="F1401" s="514">
        <v>0</v>
      </c>
      <c r="G1401" s="514">
        <v>0</v>
      </c>
      <c r="H1401" s="514">
        <v>0</v>
      </c>
      <c r="I1401" s="514">
        <v>0</v>
      </c>
      <c r="J1401" s="514">
        <v>0</v>
      </c>
      <c r="K1401" s="514">
        <v>0</v>
      </c>
      <c r="L1401" s="514">
        <v>0</v>
      </c>
      <c r="M1401" s="514">
        <v>0</v>
      </c>
      <c r="N1401" s="514">
        <v>0</v>
      </c>
      <c r="O1401" s="499"/>
      <c r="P1401" s="499"/>
      <c r="Q1401" s="499"/>
    </row>
    <row r="1402" spans="1:17" ht="14.4" x14ac:dyDescent="0.3">
      <c r="A1402" s="502">
        <v>4450010</v>
      </c>
      <c r="B1402" s="503" t="s">
        <v>537</v>
      </c>
      <c r="C1402" s="514">
        <v>9780457</v>
      </c>
      <c r="D1402" s="514">
        <v>9847378</v>
      </c>
      <c r="E1402" s="514">
        <v>9788372</v>
      </c>
      <c r="F1402" s="514">
        <v>9954964</v>
      </c>
      <c r="G1402" s="514">
        <v>10264794</v>
      </c>
      <c r="H1402" s="514">
        <v>10710913</v>
      </c>
      <c r="I1402" s="514">
        <v>10667334</v>
      </c>
      <c r="J1402" s="514">
        <v>10783096</v>
      </c>
      <c r="K1402" s="514">
        <v>10958952</v>
      </c>
      <c r="L1402" s="514">
        <v>10810181</v>
      </c>
      <c r="M1402" s="514">
        <v>10123754</v>
      </c>
      <c r="N1402" s="514">
        <v>9906765</v>
      </c>
      <c r="O1402" s="499"/>
      <c r="P1402" s="499"/>
      <c r="Q1402" s="499"/>
    </row>
    <row r="1403" spans="1:17" ht="14.4" x14ac:dyDescent="0.3">
      <c r="A1403" s="502">
        <v>4450020</v>
      </c>
      <c r="B1403" s="503" t="s">
        <v>539</v>
      </c>
      <c r="C1403" s="514">
        <v>5144269</v>
      </c>
      <c r="D1403" s="514">
        <v>5027975</v>
      </c>
      <c r="E1403" s="514">
        <v>5111195</v>
      </c>
      <c r="F1403" s="514">
        <v>5311885</v>
      </c>
      <c r="G1403" s="514">
        <v>5660683</v>
      </c>
      <c r="H1403" s="514">
        <v>6104851</v>
      </c>
      <c r="I1403" s="514">
        <v>6309069</v>
      </c>
      <c r="J1403" s="514">
        <v>6321500</v>
      </c>
      <c r="K1403" s="514">
        <v>6364732</v>
      </c>
      <c r="L1403" s="514">
        <v>6071993</v>
      </c>
      <c r="M1403" s="514">
        <v>5531784</v>
      </c>
      <c r="N1403" s="514">
        <v>5209352</v>
      </c>
      <c r="O1403" s="499"/>
      <c r="P1403" s="499"/>
      <c r="Q1403" s="499"/>
    </row>
    <row r="1404" spans="1:17" ht="14.4" x14ac:dyDescent="0.3">
      <c r="A1404" s="502">
        <v>4450030</v>
      </c>
      <c r="B1404" s="503" t="s">
        <v>541</v>
      </c>
      <c r="C1404" s="514">
        <v>23588</v>
      </c>
      <c r="D1404" s="514">
        <v>23998</v>
      </c>
      <c r="E1404" s="514">
        <v>23636</v>
      </c>
      <c r="F1404" s="514">
        <v>24148</v>
      </c>
      <c r="G1404" s="514">
        <v>25291</v>
      </c>
      <c r="H1404" s="514">
        <v>26767</v>
      </c>
      <c r="I1404" s="514">
        <v>26124</v>
      </c>
      <c r="J1404" s="514">
        <v>26621</v>
      </c>
      <c r="K1404" s="514">
        <v>27128</v>
      </c>
      <c r="L1404" s="514">
        <v>26961</v>
      </c>
      <c r="M1404" s="514">
        <v>24719</v>
      </c>
      <c r="N1404" s="514">
        <v>24187</v>
      </c>
      <c r="O1404" s="499"/>
      <c r="P1404" s="499"/>
      <c r="Q1404" s="499"/>
    </row>
    <row r="1405" spans="1:17" ht="14.4" x14ac:dyDescent="0.3">
      <c r="A1405" s="502">
        <v>4450040</v>
      </c>
      <c r="B1405" s="503" t="s">
        <v>543</v>
      </c>
      <c r="C1405" s="514">
        <v>406985</v>
      </c>
      <c r="D1405" s="514">
        <v>413860</v>
      </c>
      <c r="E1405" s="514">
        <v>407916</v>
      </c>
      <c r="F1405" s="514">
        <v>416337</v>
      </c>
      <c r="G1405" s="514">
        <v>435458</v>
      </c>
      <c r="H1405" s="514">
        <v>460589</v>
      </c>
      <c r="I1405" s="514">
        <v>450247</v>
      </c>
      <c r="J1405" s="514">
        <v>458196</v>
      </c>
      <c r="K1405" s="514">
        <v>466526</v>
      </c>
      <c r="L1405" s="514">
        <v>463533</v>
      </c>
      <c r="M1405" s="514">
        <v>426479</v>
      </c>
      <c r="N1405" s="514">
        <v>417399</v>
      </c>
      <c r="O1405" s="499"/>
      <c r="P1405" s="499"/>
      <c r="Q1405" s="499"/>
    </row>
    <row r="1406" spans="1:17" ht="14.4" x14ac:dyDescent="0.3">
      <c r="A1406" s="502">
        <v>4450050</v>
      </c>
      <c r="B1406" s="503" t="s">
        <v>545</v>
      </c>
      <c r="C1406" s="514">
        <v>115839</v>
      </c>
      <c r="D1406" s="514">
        <v>113138</v>
      </c>
      <c r="E1406" s="514">
        <v>115028</v>
      </c>
      <c r="F1406" s="514">
        <v>119671</v>
      </c>
      <c r="G1406" s="514">
        <v>127760</v>
      </c>
      <c r="H1406" s="514">
        <v>138081</v>
      </c>
      <c r="I1406" s="514">
        <v>142824</v>
      </c>
      <c r="J1406" s="514">
        <v>143104</v>
      </c>
      <c r="K1406" s="514">
        <v>144115</v>
      </c>
      <c r="L1406" s="514">
        <v>137311</v>
      </c>
      <c r="M1406" s="514">
        <v>124766</v>
      </c>
      <c r="N1406" s="514">
        <v>117305</v>
      </c>
      <c r="O1406" s="499"/>
      <c r="P1406" s="499"/>
      <c r="Q1406" s="499"/>
    </row>
    <row r="1407" spans="1:17" ht="14.4" x14ac:dyDescent="0.3">
      <c r="A1407" s="502">
        <v>4450060</v>
      </c>
      <c r="B1407" s="503" t="s">
        <v>547</v>
      </c>
      <c r="C1407" s="514">
        <v>441587.3</v>
      </c>
      <c r="D1407" s="514">
        <v>440565.45</v>
      </c>
      <c r="E1407" s="514">
        <v>440793.2</v>
      </c>
      <c r="F1407" s="514">
        <v>451522.69</v>
      </c>
      <c r="G1407" s="514">
        <v>471058.34</v>
      </c>
      <c r="H1407" s="514">
        <v>497467.81</v>
      </c>
      <c r="I1407" s="514">
        <v>501246.04</v>
      </c>
      <c r="J1407" s="514">
        <v>505314.56</v>
      </c>
      <c r="K1407" s="514">
        <v>512037.38</v>
      </c>
      <c r="L1407" s="514">
        <v>499485.7</v>
      </c>
      <c r="M1407" s="514">
        <v>463004.39</v>
      </c>
      <c r="N1407" s="514">
        <v>447640.09</v>
      </c>
      <c r="O1407" s="499"/>
      <c r="P1407" s="499"/>
      <c r="Q1407" s="499"/>
    </row>
    <row r="1408" spans="1:17" ht="14.4" x14ac:dyDescent="0.3">
      <c r="A1408" s="502">
        <v>4450070</v>
      </c>
      <c r="B1408" s="503" t="s">
        <v>549</v>
      </c>
      <c r="C1408" s="514">
        <v>248350.25</v>
      </c>
      <c r="D1408" s="514">
        <v>247102.8</v>
      </c>
      <c r="E1408" s="514">
        <v>247034.2</v>
      </c>
      <c r="F1408" s="514">
        <v>256878.29</v>
      </c>
      <c r="G1408" s="514">
        <v>275034.38</v>
      </c>
      <c r="H1408" s="514">
        <v>299678.42</v>
      </c>
      <c r="I1408" s="514">
        <v>302958.55</v>
      </c>
      <c r="J1408" s="514">
        <v>306512.01</v>
      </c>
      <c r="K1408" s="514">
        <v>312570.27</v>
      </c>
      <c r="L1408" s="514">
        <v>300433.3</v>
      </c>
      <c r="M1408" s="514">
        <v>265713.76</v>
      </c>
      <c r="N1408" s="514">
        <v>250927.18</v>
      </c>
      <c r="O1408" s="499"/>
      <c r="P1408" s="499"/>
      <c r="Q1408" s="499"/>
    </row>
    <row r="1409" spans="1:17" ht="14.4" x14ac:dyDescent="0.3">
      <c r="A1409" s="502">
        <v>4450080</v>
      </c>
      <c r="B1409" s="503" t="s">
        <v>3076</v>
      </c>
      <c r="C1409" s="514">
        <v>0</v>
      </c>
      <c r="D1409" s="514">
        <v>0</v>
      </c>
      <c r="E1409" s="514">
        <v>0</v>
      </c>
      <c r="F1409" s="514">
        <v>0</v>
      </c>
      <c r="G1409" s="514">
        <v>0</v>
      </c>
      <c r="H1409" s="514">
        <v>0</v>
      </c>
      <c r="I1409" s="514">
        <v>0</v>
      </c>
      <c r="J1409" s="514">
        <v>0</v>
      </c>
      <c r="K1409" s="514">
        <v>0</v>
      </c>
      <c r="L1409" s="514">
        <v>0</v>
      </c>
      <c r="M1409" s="514">
        <v>0</v>
      </c>
      <c r="N1409" s="514">
        <v>0</v>
      </c>
      <c r="O1409" s="499"/>
      <c r="P1409" s="499"/>
      <c r="Q1409" s="499"/>
    </row>
    <row r="1410" spans="1:17" ht="14.4" x14ac:dyDescent="0.3">
      <c r="A1410" s="502">
        <v>4450090</v>
      </c>
      <c r="B1410" s="503" t="s">
        <v>551</v>
      </c>
      <c r="C1410" s="514">
        <v>502537.37</v>
      </c>
      <c r="D1410" s="514">
        <v>504043.2</v>
      </c>
      <c r="E1410" s="514">
        <v>498530.15</v>
      </c>
      <c r="F1410" s="514">
        <v>504130.48</v>
      </c>
      <c r="G1410" s="514">
        <v>517962.1</v>
      </c>
      <c r="H1410" s="514">
        <v>539010.59</v>
      </c>
      <c r="I1410" s="514">
        <v>533413.03</v>
      </c>
      <c r="J1410" s="514">
        <v>538588.85</v>
      </c>
      <c r="K1410" s="514">
        <v>548364.47</v>
      </c>
      <c r="L1410" s="514">
        <v>541588.29</v>
      </c>
      <c r="M1410" s="514">
        <v>513435.21</v>
      </c>
      <c r="N1410" s="514">
        <v>512294.36</v>
      </c>
      <c r="O1410" s="499"/>
      <c r="P1410" s="499"/>
      <c r="Q1410" s="499"/>
    </row>
    <row r="1411" spans="1:17" ht="14.4" x14ac:dyDescent="0.3">
      <c r="A1411" s="502">
        <v>4450091</v>
      </c>
      <c r="B1411" s="503" t="s">
        <v>553</v>
      </c>
      <c r="C1411" s="514">
        <v>376704</v>
      </c>
      <c r="D1411" s="514">
        <v>382367</v>
      </c>
      <c r="E1411" s="514">
        <v>376468</v>
      </c>
      <c r="F1411" s="514">
        <v>385013</v>
      </c>
      <c r="G1411" s="514">
        <v>403399</v>
      </c>
      <c r="H1411" s="514">
        <v>427392</v>
      </c>
      <c r="I1411" s="514">
        <v>417688</v>
      </c>
      <c r="J1411" s="514">
        <v>425374</v>
      </c>
      <c r="K1411" s="514">
        <v>434161</v>
      </c>
      <c r="L1411" s="514">
        <v>430325</v>
      </c>
      <c r="M1411" s="514">
        <v>393905</v>
      </c>
      <c r="N1411" s="514">
        <v>385909</v>
      </c>
      <c r="O1411" s="499"/>
      <c r="P1411" s="499"/>
      <c r="Q1411" s="499"/>
    </row>
    <row r="1412" spans="1:17" ht="14.4" x14ac:dyDescent="0.3">
      <c r="A1412" s="502">
        <v>4450092</v>
      </c>
      <c r="B1412" s="503" t="s">
        <v>555</v>
      </c>
      <c r="C1412" s="514">
        <v>0</v>
      </c>
      <c r="D1412" s="514">
        <v>0</v>
      </c>
      <c r="E1412" s="514">
        <v>0</v>
      </c>
      <c r="F1412" s="514">
        <v>0</v>
      </c>
      <c r="G1412" s="514">
        <v>0</v>
      </c>
      <c r="H1412" s="514">
        <v>0</v>
      </c>
      <c r="I1412" s="514">
        <v>0</v>
      </c>
      <c r="J1412" s="514">
        <v>0</v>
      </c>
      <c r="K1412" s="514">
        <v>0</v>
      </c>
      <c r="L1412" s="514">
        <v>0</v>
      </c>
      <c r="M1412" s="514">
        <v>0</v>
      </c>
      <c r="N1412" s="514">
        <v>0</v>
      </c>
      <c r="O1412" s="499"/>
      <c r="P1412" s="499"/>
      <c r="Q1412" s="499"/>
    </row>
    <row r="1413" spans="1:17" ht="14.4" x14ac:dyDescent="0.3">
      <c r="A1413" s="502">
        <v>4470010</v>
      </c>
      <c r="B1413" s="503" t="s">
        <v>591</v>
      </c>
      <c r="C1413" s="514">
        <v>200979</v>
      </c>
      <c r="D1413" s="514">
        <v>213795.8</v>
      </c>
      <c r="E1413" s="514">
        <v>182819.4</v>
      </c>
      <c r="F1413" s="514">
        <v>131641</v>
      </c>
      <c r="G1413" s="514">
        <v>155757.6</v>
      </c>
      <c r="H1413" s="514">
        <v>126387</v>
      </c>
      <c r="I1413" s="514">
        <v>139951.20000000001</v>
      </c>
      <c r="J1413" s="514">
        <v>144472.6</v>
      </c>
      <c r="K1413" s="514">
        <v>183685.2</v>
      </c>
      <c r="L1413" s="514">
        <v>151051.20000000001</v>
      </c>
      <c r="M1413" s="514">
        <v>190323</v>
      </c>
      <c r="N1413" s="514">
        <v>161242</v>
      </c>
      <c r="O1413" s="499"/>
      <c r="P1413" s="499"/>
      <c r="Q1413" s="499"/>
    </row>
    <row r="1414" spans="1:17" ht="14.4" x14ac:dyDescent="0.3">
      <c r="A1414" s="502">
        <v>4470011</v>
      </c>
      <c r="B1414" s="503" t="s">
        <v>593</v>
      </c>
      <c r="C1414" s="514">
        <v>0</v>
      </c>
      <c r="D1414" s="514">
        <v>0</v>
      </c>
      <c r="E1414" s="514">
        <v>0</v>
      </c>
      <c r="F1414" s="514">
        <v>0</v>
      </c>
      <c r="G1414" s="514">
        <v>0</v>
      </c>
      <c r="H1414" s="514">
        <v>0</v>
      </c>
      <c r="I1414" s="514">
        <v>0</v>
      </c>
      <c r="J1414" s="514">
        <v>0</v>
      </c>
      <c r="K1414" s="514">
        <v>0</v>
      </c>
      <c r="L1414" s="514">
        <v>0</v>
      </c>
      <c r="M1414" s="514">
        <v>0</v>
      </c>
      <c r="N1414" s="514">
        <v>0</v>
      </c>
      <c r="O1414" s="499"/>
      <c r="P1414" s="499"/>
      <c r="Q1414" s="499"/>
    </row>
    <row r="1415" spans="1:17" ht="14.4" x14ac:dyDescent="0.3">
      <c r="A1415" s="502">
        <v>4470012</v>
      </c>
      <c r="B1415" s="503" t="s">
        <v>595</v>
      </c>
      <c r="C1415" s="514">
        <v>4682</v>
      </c>
      <c r="D1415" s="514">
        <v>5056</v>
      </c>
      <c r="E1415" s="514">
        <v>4153</v>
      </c>
      <c r="F1415" s="514">
        <v>2662</v>
      </c>
      <c r="G1415" s="514">
        <v>3365</v>
      </c>
      <c r="H1415" s="514">
        <v>2509</v>
      </c>
      <c r="I1415" s="514">
        <v>2904</v>
      </c>
      <c r="J1415" s="514">
        <v>3036</v>
      </c>
      <c r="K1415" s="514">
        <v>4178</v>
      </c>
      <c r="L1415" s="514">
        <v>3228</v>
      </c>
      <c r="M1415" s="514">
        <v>4372</v>
      </c>
      <c r="N1415" s="514">
        <v>3525</v>
      </c>
      <c r="O1415" s="499"/>
      <c r="P1415" s="499"/>
      <c r="Q1415" s="499"/>
    </row>
    <row r="1416" spans="1:17" ht="14.4" x14ac:dyDescent="0.3">
      <c r="A1416" s="502">
        <v>4470020</v>
      </c>
      <c r="B1416" s="503" t="s">
        <v>3077</v>
      </c>
      <c r="C1416" s="514">
        <v>0</v>
      </c>
      <c r="D1416" s="514">
        <v>0</v>
      </c>
      <c r="E1416" s="514">
        <v>0</v>
      </c>
      <c r="F1416" s="514">
        <v>0</v>
      </c>
      <c r="G1416" s="514">
        <v>0</v>
      </c>
      <c r="H1416" s="514">
        <v>0</v>
      </c>
      <c r="I1416" s="514">
        <v>0</v>
      </c>
      <c r="J1416" s="514">
        <v>0</v>
      </c>
      <c r="K1416" s="514">
        <v>0</v>
      </c>
      <c r="L1416" s="514">
        <v>0</v>
      </c>
      <c r="M1416" s="514">
        <v>0</v>
      </c>
      <c r="N1416" s="514">
        <v>0</v>
      </c>
      <c r="O1416" s="499"/>
      <c r="P1416" s="499"/>
      <c r="Q1416" s="499"/>
    </row>
    <row r="1417" spans="1:17" ht="14.4" x14ac:dyDescent="0.3">
      <c r="A1417" s="502">
        <v>4470021</v>
      </c>
      <c r="B1417" s="503" t="s">
        <v>3078</v>
      </c>
      <c r="C1417" s="514">
        <v>0</v>
      </c>
      <c r="D1417" s="514">
        <v>0</v>
      </c>
      <c r="E1417" s="514">
        <v>0</v>
      </c>
      <c r="F1417" s="514">
        <v>0</v>
      </c>
      <c r="G1417" s="514">
        <v>0</v>
      </c>
      <c r="H1417" s="514">
        <v>0</v>
      </c>
      <c r="I1417" s="514">
        <v>0</v>
      </c>
      <c r="J1417" s="514">
        <v>0</v>
      </c>
      <c r="K1417" s="514">
        <v>0</v>
      </c>
      <c r="L1417" s="514">
        <v>0</v>
      </c>
      <c r="M1417" s="514">
        <v>0</v>
      </c>
      <c r="N1417" s="514">
        <v>0</v>
      </c>
      <c r="O1417" s="499"/>
      <c r="P1417" s="499"/>
      <c r="Q1417" s="499"/>
    </row>
    <row r="1418" spans="1:17" ht="14.4" x14ac:dyDescent="0.3">
      <c r="A1418" s="502">
        <v>4470022</v>
      </c>
      <c r="B1418" s="503" t="s">
        <v>3079</v>
      </c>
      <c r="C1418" s="514">
        <v>0</v>
      </c>
      <c r="D1418" s="514">
        <v>0</v>
      </c>
      <c r="E1418" s="514">
        <v>0</v>
      </c>
      <c r="F1418" s="514">
        <v>0</v>
      </c>
      <c r="G1418" s="514">
        <v>0</v>
      </c>
      <c r="H1418" s="514">
        <v>0</v>
      </c>
      <c r="I1418" s="514">
        <v>0</v>
      </c>
      <c r="J1418" s="514">
        <v>0</v>
      </c>
      <c r="K1418" s="514">
        <v>0</v>
      </c>
      <c r="L1418" s="514">
        <v>0</v>
      </c>
      <c r="M1418" s="514">
        <v>0</v>
      </c>
      <c r="N1418" s="514">
        <v>0</v>
      </c>
      <c r="O1418" s="499"/>
      <c r="P1418" s="499"/>
      <c r="Q1418" s="499"/>
    </row>
    <row r="1419" spans="1:17" ht="14.4" x14ac:dyDescent="0.3">
      <c r="A1419" s="502">
        <v>4470030</v>
      </c>
      <c r="B1419" s="503" t="s">
        <v>3080</v>
      </c>
      <c r="C1419" s="514">
        <v>0</v>
      </c>
      <c r="D1419" s="514">
        <v>0</v>
      </c>
      <c r="E1419" s="514">
        <v>0</v>
      </c>
      <c r="F1419" s="514">
        <v>0</v>
      </c>
      <c r="G1419" s="514">
        <v>0</v>
      </c>
      <c r="H1419" s="514">
        <v>0</v>
      </c>
      <c r="I1419" s="514">
        <v>0</v>
      </c>
      <c r="J1419" s="514">
        <v>0</v>
      </c>
      <c r="K1419" s="514">
        <v>0</v>
      </c>
      <c r="L1419" s="514">
        <v>0</v>
      </c>
      <c r="M1419" s="514">
        <v>0</v>
      </c>
      <c r="N1419" s="514">
        <v>0</v>
      </c>
      <c r="O1419" s="499"/>
      <c r="P1419" s="499"/>
      <c r="Q1419" s="499"/>
    </row>
    <row r="1420" spans="1:17" ht="14.4" x14ac:dyDescent="0.3">
      <c r="A1420" s="502">
        <v>4470031</v>
      </c>
      <c r="B1420" s="503" t="s">
        <v>3081</v>
      </c>
      <c r="C1420" s="514">
        <v>0</v>
      </c>
      <c r="D1420" s="514">
        <v>0</v>
      </c>
      <c r="E1420" s="514">
        <v>0</v>
      </c>
      <c r="F1420" s="514">
        <v>0</v>
      </c>
      <c r="G1420" s="514">
        <v>0</v>
      </c>
      <c r="H1420" s="514">
        <v>0</v>
      </c>
      <c r="I1420" s="514">
        <v>0</v>
      </c>
      <c r="J1420" s="514">
        <v>0</v>
      </c>
      <c r="K1420" s="514">
        <v>0</v>
      </c>
      <c r="L1420" s="514">
        <v>0</v>
      </c>
      <c r="M1420" s="514">
        <v>0</v>
      </c>
      <c r="N1420" s="514">
        <v>0</v>
      </c>
      <c r="O1420" s="499"/>
      <c r="P1420" s="499"/>
      <c r="Q1420" s="499"/>
    </row>
    <row r="1421" spans="1:17" ht="14.4" x14ac:dyDescent="0.3">
      <c r="A1421" s="502">
        <v>4470041</v>
      </c>
      <c r="B1421" s="503" t="s">
        <v>3082</v>
      </c>
      <c r="C1421" s="514">
        <v>0</v>
      </c>
      <c r="D1421" s="514">
        <v>0</v>
      </c>
      <c r="E1421" s="514">
        <v>0</v>
      </c>
      <c r="F1421" s="514">
        <v>0</v>
      </c>
      <c r="G1421" s="514">
        <v>0</v>
      </c>
      <c r="H1421" s="514">
        <v>0</v>
      </c>
      <c r="I1421" s="514">
        <v>0</v>
      </c>
      <c r="J1421" s="514">
        <v>0</v>
      </c>
      <c r="K1421" s="514">
        <v>0</v>
      </c>
      <c r="L1421" s="514">
        <v>0</v>
      </c>
      <c r="M1421" s="514">
        <v>0</v>
      </c>
      <c r="N1421" s="514">
        <v>0</v>
      </c>
      <c r="O1421" s="499"/>
      <c r="P1421" s="499"/>
      <c r="Q1421" s="499"/>
    </row>
    <row r="1422" spans="1:17" ht="14.4" x14ac:dyDescent="0.3">
      <c r="A1422" s="502">
        <v>4470042</v>
      </c>
      <c r="B1422" s="503" t="s">
        <v>3083</v>
      </c>
      <c r="C1422" s="514">
        <v>0</v>
      </c>
      <c r="D1422" s="514">
        <v>0</v>
      </c>
      <c r="E1422" s="514">
        <v>0</v>
      </c>
      <c r="F1422" s="514">
        <v>0</v>
      </c>
      <c r="G1422" s="514">
        <v>0</v>
      </c>
      <c r="H1422" s="514">
        <v>0</v>
      </c>
      <c r="I1422" s="514">
        <v>0</v>
      </c>
      <c r="J1422" s="514">
        <v>0</v>
      </c>
      <c r="K1422" s="514">
        <v>0</v>
      </c>
      <c r="L1422" s="514">
        <v>0</v>
      </c>
      <c r="M1422" s="514">
        <v>0</v>
      </c>
      <c r="N1422" s="514">
        <v>0</v>
      </c>
      <c r="O1422" s="499"/>
      <c r="P1422" s="499"/>
      <c r="Q1422" s="499"/>
    </row>
    <row r="1423" spans="1:17" ht="14.4" x14ac:dyDescent="0.3">
      <c r="A1423" s="502">
        <v>4470043</v>
      </c>
      <c r="B1423" s="503" t="s">
        <v>3084</v>
      </c>
      <c r="C1423" s="514">
        <v>0</v>
      </c>
      <c r="D1423" s="514">
        <v>0</v>
      </c>
      <c r="E1423" s="514">
        <v>0</v>
      </c>
      <c r="F1423" s="514">
        <v>0</v>
      </c>
      <c r="G1423" s="514">
        <v>0</v>
      </c>
      <c r="H1423" s="514">
        <v>0</v>
      </c>
      <c r="I1423" s="514">
        <v>0</v>
      </c>
      <c r="J1423" s="514">
        <v>0</v>
      </c>
      <c r="K1423" s="514">
        <v>0</v>
      </c>
      <c r="L1423" s="514">
        <v>0</v>
      </c>
      <c r="M1423" s="514">
        <v>0</v>
      </c>
      <c r="N1423" s="514">
        <v>0</v>
      </c>
      <c r="O1423" s="499"/>
      <c r="P1423" s="499"/>
      <c r="Q1423" s="499"/>
    </row>
    <row r="1424" spans="1:17" ht="14.4" x14ac:dyDescent="0.3">
      <c r="A1424" s="502">
        <v>4470110</v>
      </c>
      <c r="B1424" s="503" t="s">
        <v>3085</v>
      </c>
      <c r="C1424" s="514">
        <v>0</v>
      </c>
      <c r="D1424" s="514">
        <v>0</v>
      </c>
      <c r="E1424" s="514">
        <v>0</v>
      </c>
      <c r="F1424" s="514">
        <v>0</v>
      </c>
      <c r="G1424" s="514">
        <v>0</v>
      </c>
      <c r="H1424" s="514">
        <v>0</v>
      </c>
      <c r="I1424" s="514">
        <v>0</v>
      </c>
      <c r="J1424" s="514">
        <v>0</v>
      </c>
      <c r="K1424" s="514">
        <v>0</v>
      </c>
      <c r="L1424" s="514">
        <v>0</v>
      </c>
      <c r="M1424" s="514">
        <v>0</v>
      </c>
      <c r="N1424" s="514">
        <v>0</v>
      </c>
      <c r="O1424" s="499"/>
      <c r="P1424" s="499"/>
      <c r="Q1424" s="499"/>
    </row>
    <row r="1425" spans="1:17" ht="14.4" x14ac:dyDescent="0.3">
      <c r="A1425" s="502">
        <v>4470120</v>
      </c>
      <c r="B1425" s="503" t="s">
        <v>3086</v>
      </c>
      <c r="C1425" s="514">
        <v>0</v>
      </c>
      <c r="D1425" s="514">
        <v>0</v>
      </c>
      <c r="E1425" s="514">
        <v>0</v>
      </c>
      <c r="F1425" s="514">
        <v>0</v>
      </c>
      <c r="G1425" s="514">
        <v>0</v>
      </c>
      <c r="H1425" s="514">
        <v>0</v>
      </c>
      <c r="I1425" s="514">
        <v>0</v>
      </c>
      <c r="J1425" s="514">
        <v>0</v>
      </c>
      <c r="K1425" s="514">
        <v>0</v>
      </c>
      <c r="L1425" s="514">
        <v>0</v>
      </c>
      <c r="M1425" s="514">
        <v>0</v>
      </c>
      <c r="N1425" s="514">
        <v>0</v>
      </c>
      <c r="O1425" s="499"/>
      <c r="P1425" s="499"/>
      <c r="Q1425" s="499"/>
    </row>
    <row r="1426" spans="1:17" ht="14.4" x14ac:dyDescent="0.3">
      <c r="A1426" s="502">
        <v>4470800</v>
      </c>
      <c r="B1426" s="503" t="s">
        <v>3087</v>
      </c>
      <c r="C1426" s="514">
        <v>0</v>
      </c>
      <c r="D1426" s="514">
        <v>0</v>
      </c>
      <c r="E1426" s="514">
        <v>0</v>
      </c>
      <c r="F1426" s="514">
        <v>0</v>
      </c>
      <c r="G1426" s="514">
        <v>0</v>
      </c>
      <c r="H1426" s="514">
        <v>0</v>
      </c>
      <c r="I1426" s="514">
        <v>0</v>
      </c>
      <c r="J1426" s="514">
        <v>0</v>
      </c>
      <c r="K1426" s="514">
        <v>0</v>
      </c>
      <c r="L1426" s="514">
        <v>0</v>
      </c>
      <c r="M1426" s="514">
        <v>0</v>
      </c>
      <c r="N1426" s="514">
        <v>0</v>
      </c>
      <c r="O1426" s="499"/>
      <c r="P1426" s="499"/>
      <c r="Q1426" s="499"/>
    </row>
    <row r="1427" spans="1:17" ht="14.4" x14ac:dyDescent="0.3">
      <c r="A1427" s="502">
        <v>4491010</v>
      </c>
      <c r="B1427" s="503" t="s">
        <v>3088</v>
      </c>
      <c r="C1427" s="514">
        <v>0</v>
      </c>
      <c r="D1427" s="514">
        <v>0</v>
      </c>
      <c r="E1427" s="514">
        <v>0</v>
      </c>
      <c r="F1427" s="514">
        <v>0</v>
      </c>
      <c r="G1427" s="514">
        <v>0</v>
      </c>
      <c r="H1427" s="514">
        <v>0</v>
      </c>
      <c r="I1427" s="514">
        <v>0</v>
      </c>
      <c r="J1427" s="514">
        <v>0</v>
      </c>
      <c r="K1427" s="514">
        <v>0</v>
      </c>
      <c r="L1427" s="514">
        <v>0</v>
      </c>
      <c r="M1427" s="514">
        <v>0</v>
      </c>
      <c r="N1427" s="514">
        <v>0</v>
      </c>
      <c r="O1427" s="499"/>
      <c r="P1427" s="499"/>
      <c r="Q1427" s="499"/>
    </row>
    <row r="1428" spans="1:17" ht="14.4" x14ac:dyDescent="0.3">
      <c r="A1428" s="502">
        <v>4491020</v>
      </c>
      <c r="B1428" s="503" t="s">
        <v>3089</v>
      </c>
      <c r="C1428" s="514">
        <v>0</v>
      </c>
      <c r="D1428" s="514">
        <v>0</v>
      </c>
      <c r="E1428" s="514">
        <v>0</v>
      </c>
      <c r="F1428" s="514">
        <v>0</v>
      </c>
      <c r="G1428" s="514">
        <v>0</v>
      </c>
      <c r="H1428" s="514">
        <v>0</v>
      </c>
      <c r="I1428" s="514">
        <v>0</v>
      </c>
      <c r="J1428" s="514">
        <v>0</v>
      </c>
      <c r="K1428" s="514">
        <v>0</v>
      </c>
      <c r="L1428" s="514">
        <v>0</v>
      </c>
      <c r="M1428" s="514">
        <v>0</v>
      </c>
      <c r="N1428" s="514">
        <v>0</v>
      </c>
      <c r="O1428" s="499"/>
      <c r="P1428" s="499"/>
      <c r="Q1428" s="499"/>
    </row>
    <row r="1429" spans="1:17" ht="14.4" x14ac:dyDescent="0.3">
      <c r="A1429" s="502">
        <v>4491030</v>
      </c>
      <c r="B1429" s="503" t="s">
        <v>3090</v>
      </c>
      <c r="C1429" s="514">
        <v>0</v>
      </c>
      <c r="D1429" s="514">
        <v>0</v>
      </c>
      <c r="E1429" s="514">
        <v>0</v>
      </c>
      <c r="F1429" s="514">
        <v>0</v>
      </c>
      <c r="G1429" s="514">
        <v>0</v>
      </c>
      <c r="H1429" s="514">
        <v>0</v>
      </c>
      <c r="I1429" s="514">
        <v>0</v>
      </c>
      <c r="J1429" s="514">
        <v>0</v>
      </c>
      <c r="K1429" s="514">
        <v>0</v>
      </c>
      <c r="L1429" s="514">
        <v>0</v>
      </c>
      <c r="M1429" s="514">
        <v>0</v>
      </c>
      <c r="N1429" s="514">
        <v>0</v>
      </c>
      <c r="O1429" s="499"/>
      <c r="P1429" s="499"/>
      <c r="Q1429" s="499"/>
    </row>
    <row r="1430" spans="1:17" ht="14.4" x14ac:dyDescent="0.3">
      <c r="A1430" s="502">
        <v>4491040</v>
      </c>
      <c r="B1430" s="503" t="s">
        <v>3091</v>
      </c>
      <c r="C1430" s="514">
        <v>0</v>
      </c>
      <c r="D1430" s="514">
        <v>0</v>
      </c>
      <c r="E1430" s="514">
        <v>0</v>
      </c>
      <c r="F1430" s="514">
        <v>0</v>
      </c>
      <c r="G1430" s="514">
        <v>0</v>
      </c>
      <c r="H1430" s="514">
        <v>0</v>
      </c>
      <c r="I1430" s="514">
        <v>0</v>
      </c>
      <c r="J1430" s="514">
        <v>0</v>
      </c>
      <c r="K1430" s="514">
        <v>0</v>
      </c>
      <c r="L1430" s="514">
        <v>0</v>
      </c>
      <c r="M1430" s="514">
        <v>0</v>
      </c>
      <c r="N1430" s="514">
        <v>0</v>
      </c>
      <c r="O1430" s="499"/>
      <c r="P1430" s="499"/>
      <c r="Q1430" s="499"/>
    </row>
    <row r="1431" spans="1:17" ht="14.4" x14ac:dyDescent="0.3">
      <c r="A1431" s="502">
        <v>4491050</v>
      </c>
      <c r="B1431" s="503" t="s">
        <v>3092</v>
      </c>
      <c r="C1431" s="514">
        <v>0</v>
      </c>
      <c r="D1431" s="514">
        <v>0</v>
      </c>
      <c r="E1431" s="514">
        <v>0</v>
      </c>
      <c r="F1431" s="514">
        <v>0</v>
      </c>
      <c r="G1431" s="514">
        <v>0</v>
      </c>
      <c r="H1431" s="514">
        <v>0</v>
      </c>
      <c r="I1431" s="514">
        <v>0</v>
      </c>
      <c r="J1431" s="514">
        <v>0</v>
      </c>
      <c r="K1431" s="514">
        <v>0</v>
      </c>
      <c r="L1431" s="514">
        <v>0</v>
      </c>
      <c r="M1431" s="514">
        <v>0</v>
      </c>
      <c r="N1431" s="514">
        <v>0</v>
      </c>
      <c r="O1431" s="499"/>
      <c r="P1431" s="499"/>
      <c r="Q1431" s="499"/>
    </row>
    <row r="1432" spans="1:17" ht="14.4" x14ac:dyDescent="0.3">
      <c r="A1432" s="502">
        <v>4491060</v>
      </c>
      <c r="B1432" s="503" t="s">
        <v>3093</v>
      </c>
      <c r="C1432" s="514">
        <v>0</v>
      </c>
      <c r="D1432" s="514">
        <v>0</v>
      </c>
      <c r="E1432" s="514">
        <v>0</v>
      </c>
      <c r="F1432" s="514">
        <v>0</v>
      </c>
      <c r="G1432" s="514">
        <v>0</v>
      </c>
      <c r="H1432" s="514">
        <v>0</v>
      </c>
      <c r="I1432" s="514">
        <v>0</v>
      </c>
      <c r="J1432" s="514">
        <v>0</v>
      </c>
      <c r="K1432" s="514">
        <v>0</v>
      </c>
      <c r="L1432" s="514">
        <v>0</v>
      </c>
      <c r="M1432" s="514">
        <v>0</v>
      </c>
      <c r="N1432" s="514">
        <v>0</v>
      </c>
      <c r="O1432" s="499"/>
      <c r="P1432" s="499"/>
      <c r="Q1432" s="499"/>
    </row>
    <row r="1433" spans="1:17" ht="14.4" x14ac:dyDescent="0.3">
      <c r="A1433" s="502">
        <v>4491070</v>
      </c>
      <c r="B1433" s="503" t="s">
        <v>3094</v>
      </c>
      <c r="C1433" s="514">
        <v>0</v>
      </c>
      <c r="D1433" s="514">
        <v>0</v>
      </c>
      <c r="E1433" s="514">
        <v>0</v>
      </c>
      <c r="F1433" s="514">
        <v>0</v>
      </c>
      <c r="G1433" s="514">
        <v>0</v>
      </c>
      <c r="H1433" s="514">
        <v>0</v>
      </c>
      <c r="I1433" s="514">
        <v>0</v>
      </c>
      <c r="J1433" s="514">
        <v>0</v>
      </c>
      <c r="K1433" s="514">
        <v>0</v>
      </c>
      <c r="L1433" s="514">
        <v>0</v>
      </c>
      <c r="M1433" s="514">
        <v>0</v>
      </c>
      <c r="N1433" s="514">
        <v>0</v>
      </c>
      <c r="O1433" s="499"/>
      <c r="P1433" s="499"/>
      <c r="Q1433" s="499"/>
    </row>
    <row r="1434" spans="1:17" ht="14.4" x14ac:dyDescent="0.3">
      <c r="A1434" s="502">
        <v>4491080</v>
      </c>
      <c r="B1434" s="503" t="s">
        <v>3095</v>
      </c>
      <c r="C1434" s="514">
        <v>0</v>
      </c>
      <c r="D1434" s="514">
        <v>0</v>
      </c>
      <c r="E1434" s="514">
        <v>0</v>
      </c>
      <c r="F1434" s="514">
        <v>0</v>
      </c>
      <c r="G1434" s="514">
        <v>0</v>
      </c>
      <c r="H1434" s="514">
        <v>0</v>
      </c>
      <c r="I1434" s="514">
        <v>0</v>
      </c>
      <c r="J1434" s="514">
        <v>0</v>
      </c>
      <c r="K1434" s="514">
        <v>0</v>
      </c>
      <c r="L1434" s="514">
        <v>0</v>
      </c>
      <c r="M1434" s="514">
        <v>0</v>
      </c>
      <c r="N1434" s="514">
        <v>0</v>
      </c>
      <c r="O1434" s="499"/>
      <c r="P1434" s="499"/>
      <c r="Q1434" s="499"/>
    </row>
    <row r="1435" spans="1:17" ht="14.4" x14ac:dyDescent="0.3">
      <c r="A1435" s="502">
        <v>4491900</v>
      </c>
      <c r="B1435" s="503" t="s">
        <v>3096</v>
      </c>
      <c r="C1435" s="514">
        <v>0</v>
      </c>
      <c r="D1435" s="514">
        <v>0</v>
      </c>
      <c r="E1435" s="514">
        <v>0</v>
      </c>
      <c r="F1435" s="514">
        <v>0</v>
      </c>
      <c r="G1435" s="514">
        <v>0</v>
      </c>
      <c r="H1435" s="514">
        <v>0</v>
      </c>
      <c r="I1435" s="514">
        <v>0</v>
      </c>
      <c r="J1435" s="514">
        <v>0</v>
      </c>
      <c r="K1435" s="514">
        <v>0</v>
      </c>
      <c r="L1435" s="514">
        <v>0</v>
      </c>
      <c r="M1435" s="514">
        <v>0</v>
      </c>
      <c r="N1435" s="514">
        <v>0</v>
      </c>
      <c r="O1435" s="499"/>
      <c r="P1435" s="499"/>
      <c r="Q1435" s="499"/>
    </row>
    <row r="1436" spans="1:17" ht="14.4" x14ac:dyDescent="0.3">
      <c r="A1436" s="502">
        <v>4500000</v>
      </c>
      <c r="B1436" s="503" t="s">
        <v>3097</v>
      </c>
      <c r="C1436" s="514">
        <v>0</v>
      </c>
      <c r="D1436" s="514">
        <v>0</v>
      </c>
      <c r="E1436" s="514">
        <v>0</v>
      </c>
      <c r="F1436" s="514">
        <v>0</v>
      </c>
      <c r="G1436" s="514">
        <v>0</v>
      </c>
      <c r="H1436" s="514">
        <v>0</v>
      </c>
      <c r="I1436" s="514">
        <v>0</v>
      </c>
      <c r="J1436" s="514">
        <v>0</v>
      </c>
      <c r="K1436" s="514">
        <v>0</v>
      </c>
      <c r="L1436" s="514">
        <v>0</v>
      </c>
      <c r="M1436" s="514">
        <v>0</v>
      </c>
      <c r="N1436" s="514">
        <v>0</v>
      </c>
      <c r="O1436" s="499"/>
      <c r="P1436" s="499"/>
      <c r="Q1436" s="499"/>
    </row>
    <row r="1437" spans="1:17" ht="14.4" x14ac:dyDescent="0.3">
      <c r="A1437" s="502">
        <v>4510100</v>
      </c>
      <c r="B1437" s="503" t="s">
        <v>601</v>
      </c>
      <c r="C1437" s="514">
        <v>35670</v>
      </c>
      <c r="D1437" s="514">
        <v>34102</v>
      </c>
      <c r="E1437" s="514">
        <v>40108</v>
      </c>
      <c r="F1437" s="514">
        <v>35035</v>
      </c>
      <c r="G1437" s="514">
        <v>44490</v>
      </c>
      <c r="H1437" s="514">
        <v>53320</v>
      </c>
      <c r="I1437" s="514">
        <v>48749</v>
      </c>
      <c r="J1437" s="514">
        <v>46740</v>
      </c>
      <c r="K1437" s="514">
        <v>56244</v>
      </c>
      <c r="L1437" s="514">
        <v>56524</v>
      </c>
      <c r="M1437" s="514">
        <v>56808</v>
      </c>
      <c r="N1437" s="514">
        <v>57091</v>
      </c>
      <c r="O1437" s="499"/>
      <c r="P1437" s="499"/>
      <c r="Q1437" s="499"/>
    </row>
    <row r="1438" spans="1:17" ht="14.4" x14ac:dyDescent="0.3">
      <c r="A1438" s="502">
        <v>4510101</v>
      </c>
      <c r="B1438" s="503" t="s">
        <v>603</v>
      </c>
      <c r="C1438" s="514">
        <v>4203.3500000000004</v>
      </c>
      <c r="D1438" s="514">
        <v>4203.3500000000004</v>
      </c>
      <c r="E1438" s="514">
        <v>4203.3500000000004</v>
      </c>
      <c r="F1438" s="514">
        <v>4203.3500000000004</v>
      </c>
      <c r="G1438" s="514">
        <v>4203.3500000000004</v>
      </c>
      <c r="H1438" s="514">
        <v>4203.3500000000004</v>
      </c>
      <c r="I1438" s="514">
        <v>4203.3500000000004</v>
      </c>
      <c r="J1438" s="514">
        <v>4203.3500000000004</v>
      </c>
      <c r="K1438" s="514">
        <v>4203.3500000000004</v>
      </c>
      <c r="L1438" s="514">
        <v>4203.3500000000004</v>
      </c>
      <c r="M1438" s="514">
        <v>4203.3500000000004</v>
      </c>
      <c r="N1438" s="514">
        <v>4203.3500000000004</v>
      </c>
      <c r="O1438" s="499"/>
      <c r="P1438" s="499"/>
      <c r="Q1438" s="499"/>
    </row>
    <row r="1439" spans="1:17" ht="14.4" x14ac:dyDescent="0.3">
      <c r="A1439" s="502">
        <v>4510102</v>
      </c>
      <c r="B1439" s="503" t="s">
        <v>605</v>
      </c>
      <c r="C1439" s="514">
        <v>0</v>
      </c>
      <c r="D1439" s="514">
        <v>190</v>
      </c>
      <c r="E1439" s="514">
        <v>948</v>
      </c>
      <c r="F1439" s="514">
        <v>379</v>
      </c>
      <c r="G1439" s="514">
        <v>379</v>
      </c>
      <c r="H1439" s="514">
        <v>379</v>
      </c>
      <c r="I1439" s="514">
        <v>948</v>
      </c>
      <c r="J1439" s="514">
        <v>569</v>
      </c>
      <c r="K1439" s="514">
        <v>569</v>
      </c>
      <c r="L1439" s="514">
        <v>569</v>
      </c>
      <c r="M1439" s="514">
        <v>569</v>
      </c>
      <c r="N1439" s="514">
        <v>569</v>
      </c>
      <c r="O1439" s="499"/>
      <c r="P1439" s="499"/>
      <c r="Q1439" s="499"/>
    </row>
    <row r="1440" spans="1:17" ht="14.4" x14ac:dyDescent="0.3">
      <c r="A1440" s="502">
        <v>4510103</v>
      </c>
      <c r="B1440" s="503" t="s">
        <v>607</v>
      </c>
      <c r="C1440" s="514">
        <v>99646</v>
      </c>
      <c r="D1440" s="514">
        <v>102857</v>
      </c>
      <c r="E1440" s="514">
        <v>125349</v>
      </c>
      <c r="F1440" s="514">
        <v>101268</v>
      </c>
      <c r="G1440" s="514">
        <v>121454</v>
      </c>
      <c r="H1440" s="514">
        <v>130046</v>
      </c>
      <c r="I1440" s="514">
        <v>117777</v>
      </c>
      <c r="J1440" s="514">
        <v>127176</v>
      </c>
      <c r="K1440" s="514">
        <v>127176</v>
      </c>
      <c r="L1440" s="514">
        <v>127176</v>
      </c>
      <c r="M1440" s="514">
        <v>127176</v>
      </c>
      <c r="N1440" s="514">
        <v>127176</v>
      </c>
      <c r="O1440" s="499"/>
      <c r="P1440" s="499"/>
      <c r="Q1440" s="499"/>
    </row>
    <row r="1441" spans="1:17" ht="14.4" x14ac:dyDescent="0.3">
      <c r="A1441" s="502">
        <v>4510104</v>
      </c>
      <c r="B1441" s="503" t="s">
        <v>609</v>
      </c>
      <c r="C1441" s="514">
        <v>154513</v>
      </c>
      <c r="D1441" s="514">
        <v>157834</v>
      </c>
      <c r="E1441" s="514">
        <v>205336</v>
      </c>
      <c r="F1441" s="514">
        <v>161450</v>
      </c>
      <c r="G1441" s="514">
        <v>188042</v>
      </c>
      <c r="H1441" s="514">
        <v>191831</v>
      </c>
      <c r="I1441" s="514">
        <v>129064</v>
      </c>
      <c r="J1441" s="514">
        <v>128125</v>
      </c>
      <c r="K1441" s="514">
        <v>128125</v>
      </c>
      <c r="L1441" s="514">
        <v>128125</v>
      </c>
      <c r="M1441" s="514">
        <v>128125</v>
      </c>
      <c r="N1441" s="514">
        <v>128125</v>
      </c>
      <c r="O1441" s="499"/>
      <c r="P1441" s="499"/>
      <c r="Q1441" s="499"/>
    </row>
    <row r="1442" spans="1:17" ht="14.4" x14ac:dyDescent="0.3">
      <c r="A1442" s="502">
        <v>4510105</v>
      </c>
      <c r="B1442" s="503" t="s">
        <v>3098</v>
      </c>
      <c r="C1442" s="514">
        <v>0</v>
      </c>
      <c r="D1442" s="514">
        <v>0</v>
      </c>
      <c r="E1442" s="514">
        <v>0</v>
      </c>
      <c r="F1442" s="514">
        <v>0</v>
      </c>
      <c r="G1442" s="514">
        <v>0</v>
      </c>
      <c r="H1442" s="514">
        <v>0</v>
      </c>
      <c r="I1442" s="514">
        <v>0</v>
      </c>
      <c r="J1442" s="514">
        <v>0</v>
      </c>
      <c r="K1442" s="514">
        <v>0</v>
      </c>
      <c r="L1442" s="514">
        <v>0</v>
      </c>
      <c r="M1442" s="514">
        <v>0</v>
      </c>
      <c r="N1442" s="514">
        <v>0</v>
      </c>
      <c r="O1442" s="499"/>
      <c r="P1442" s="499"/>
      <c r="Q1442" s="499"/>
    </row>
    <row r="1443" spans="1:17" ht="14.4" x14ac:dyDescent="0.3">
      <c r="A1443" s="502">
        <v>4510106</v>
      </c>
      <c r="B1443" s="503" t="s">
        <v>3099</v>
      </c>
      <c r="C1443" s="514">
        <v>0</v>
      </c>
      <c r="D1443" s="514">
        <v>0</v>
      </c>
      <c r="E1443" s="514">
        <v>0</v>
      </c>
      <c r="F1443" s="514">
        <v>0</v>
      </c>
      <c r="G1443" s="514">
        <v>0</v>
      </c>
      <c r="H1443" s="514">
        <v>0</v>
      </c>
      <c r="I1443" s="514">
        <v>0</v>
      </c>
      <c r="J1443" s="514">
        <v>0</v>
      </c>
      <c r="K1443" s="514">
        <v>0</v>
      </c>
      <c r="L1443" s="514">
        <v>0</v>
      </c>
      <c r="M1443" s="514">
        <v>0</v>
      </c>
      <c r="N1443" s="514">
        <v>0</v>
      </c>
      <c r="O1443" s="499"/>
      <c r="P1443" s="499"/>
      <c r="Q1443" s="499"/>
    </row>
    <row r="1444" spans="1:17" ht="14.4" x14ac:dyDescent="0.3">
      <c r="A1444" s="502">
        <v>4510107</v>
      </c>
      <c r="B1444" s="503" t="s">
        <v>611</v>
      </c>
      <c r="C1444" s="514">
        <v>910244.83</v>
      </c>
      <c r="D1444" s="514">
        <v>910244.83</v>
      </c>
      <c r="E1444" s="514">
        <v>910244.83</v>
      </c>
      <c r="F1444" s="514">
        <v>910244.83</v>
      </c>
      <c r="G1444" s="514">
        <v>910244.83</v>
      </c>
      <c r="H1444" s="514">
        <v>910244.83</v>
      </c>
      <c r="I1444" s="514">
        <v>910244.83</v>
      </c>
      <c r="J1444" s="514">
        <v>910244.83</v>
      </c>
      <c r="K1444" s="514">
        <v>910244.83</v>
      </c>
      <c r="L1444" s="514">
        <v>910244.83</v>
      </c>
      <c r="M1444" s="514">
        <v>910244.83</v>
      </c>
      <c r="N1444" s="514">
        <v>910244.83</v>
      </c>
      <c r="O1444" s="499"/>
      <c r="P1444" s="499"/>
      <c r="Q1444" s="499"/>
    </row>
    <row r="1445" spans="1:17" ht="14.4" x14ac:dyDescent="0.3">
      <c r="A1445" s="502">
        <v>4510108</v>
      </c>
      <c r="B1445" s="503" t="s">
        <v>613</v>
      </c>
      <c r="C1445" s="514">
        <v>153482.99</v>
      </c>
      <c r="D1445" s="514">
        <v>153482.99</v>
      </c>
      <c r="E1445" s="514">
        <v>153482.99</v>
      </c>
      <c r="F1445" s="514">
        <v>153482.99</v>
      </c>
      <c r="G1445" s="514">
        <v>153482.99</v>
      </c>
      <c r="H1445" s="514">
        <v>153482.99</v>
      </c>
      <c r="I1445" s="514">
        <v>153482.99</v>
      </c>
      <c r="J1445" s="514">
        <v>153482.99</v>
      </c>
      <c r="K1445" s="514">
        <v>153482.99</v>
      </c>
      <c r="L1445" s="514">
        <v>153482.99</v>
      </c>
      <c r="M1445" s="514">
        <v>153482.99</v>
      </c>
      <c r="N1445" s="514">
        <v>153482.99</v>
      </c>
      <c r="O1445" s="499"/>
      <c r="P1445" s="499"/>
      <c r="Q1445" s="499"/>
    </row>
    <row r="1446" spans="1:17" ht="14.4" x14ac:dyDescent="0.3">
      <c r="A1446" s="502">
        <v>4510109</v>
      </c>
      <c r="B1446" s="503" t="s">
        <v>615</v>
      </c>
      <c r="C1446" s="514">
        <v>33159</v>
      </c>
      <c r="D1446" s="514">
        <v>32800</v>
      </c>
      <c r="E1446" s="514">
        <v>42312</v>
      </c>
      <c r="F1446" s="514">
        <v>31160</v>
      </c>
      <c r="G1446" s="514">
        <v>38048</v>
      </c>
      <c r="H1446" s="514">
        <v>36736</v>
      </c>
      <c r="I1446" s="514">
        <v>24928</v>
      </c>
      <c r="J1446" s="514">
        <v>25625</v>
      </c>
      <c r="K1446" s="514">
        <v>25625</v>
      </c>
      <c r="L1446" s="514">
        <v>25625</v>
      </c>
      <c r="M1446" s="514">
        <v>25625</v>
      </c>
      <c r="N1446" s="514">
        <v>25625</v>
      </c>
      <c r="O1446" s="499"/>
      <c r="P1446" s="499"/>
      <c r="Q1446" s="499"/>
    </row>
    <row r="1447" spans="1:17" ht="14.4" x14ac:dyDescent="0.3">
      <c r="A1447" s="502">
        <v>4510110</v>
      </c>
      <c r="B1447" s="503" t="s">
        <v>617</v>
      </c>
      <c r="C1447" s="514">
        <v>919.92</v>
      </c>
      <c r="D1447" s="514">
        <v>919.92</v>
      </c>
      <c r="E1447" s="514">
        <v>919.92</v>
      </c>
      <c r="F1447" s="514">
        <v>919.92</v>
      </c>
      <c r="G1447" s="514">
        <v>919.92</v>
      </c>
      <c r="H1447" s="514">
        <v>919.92</v>
      </c>
      <c r="I1447" s="514">
        <v>919.92</v>
      </c>
      <c r="J1447" s="514">
        <v>919.92</v>
      </c>
      <c r="K1447" s="514">
        <v>919.92</v>
      </c>
      <c r="L1447" s="514">
        <v>919.92</v>
      </c>
      <c r="M1447" s="514">
        <v>919.92</v>
      </c>
      <c r="N1447" s="514">
        <v>919.92</v>
      </c>
      <c r="O1447" s="499"/>
      <c r="P1447" s="499"/>
      <c r="Q1447" s="499"/>
    </row>
    <row r="1448" spans="1:17" ht="14.4" x14ac:dyDescent="0.3">
      <c r="A1448" s="502">
        <v>4510111</v>
      </c>
      <c r="B1448" s="503" t="s">
        <v>619</v>
      </c>
      <c r="C1448" s="514">
        <v>123358</v>
      </c>
      <c r="D1448" s="514">
        <v>123358</v>
      </c>
      <c r="E1448" s="514">
        <v>123358</v>
      </c>
      <c r="F1448" s="514">
        <v>123358</v>
      </c>
      <c r="G1448" s="514">
        <v>123358</v>
      </c>
      <c r="H1448" s="514">
        <v>123358</v>
      </c>
      <c r="I1448" s="514">
        <v>123358</v>
      </c>
      <c r="J1448" s="514">
        <v>123358</v>
      </c>
      <c r="K1448" s="514">
        <v>123358</v>
      </c>
      <c r="L1448" s="514">
        <v>123358</v>
      </c>
      <c r="M1448" s="514">
        <v>123358</v>
      </c>
      <c r="N1448" s="514">
        <v>123358</v>
      </c>
      <c r="O1448" s="499"/>
      <c r="P1448" s="499"/>
      <c r="Q1448" s="499"/>
    </row>
    <row r="1449" spans="1:17" ht="14.4" x14ac:dyDescent="0.3">
      <c r="A1449" s="502">
        <v>4510112</v>
      </c>
      <c r="B1449" s="503" t="s">
        <v>621</v>
      </c>
      <c r="C1449" s="514">
        <v>7739</v>
      </c>
      <c r="D1449" s="514">
        <v>5766</v>
      </c>
      <c r="E1449" s="514">
        <v>5099</v>
      </c>
      <c r="F1449" s="514">
        <v>1537</v>
      </c>
      <c r="G1449" s="514">
        <v>1179</v>
      </c>
      <c r="H1449" s="514">
        <v>3075</v>
      </c>
      <c r="I1449" s="514">
        <v>2819</v>
      </c>
      <c r="J1449" s="514">
        <v>2890</v>
      </c>
      <c r="K1449" s="514">
        <v>2890</v>
      </c>
      <c r="L1449" s="514">
        <v>2890</v>
      </c>
      <c r="M1449" s="514">
        <v>2890</v>
      </c>
      <c r="N1449" s="514">
        <v>2890</v>
      </c>
      <c r="O1449" s="499"/>
      <c r="P1449" s="499"/>
      <c r="Q1449" s="499"/>
    </row>
    <row r="1450" spans="1:17" ht="14.4" x14ac:dyDescent="0.3">
      <c r="A1450" s="502">
        <v>4510113</v>
      </c>
      <c r="B1450" s="503" t="s">
        <v>623</v>
      </c>
      <c r="C1450" s="514">
        <v>0</v>
      </c>
      <c r="D1450" s="514">
        <v>0</v>
      </c>
      <c r="E1450" s="514">
        <v>0</v>
      </c>
      <c r="F1450" s="514">
        <v>0</v>
      </c>
      <c r="G1450" s="514">
        <v>0</v>
      </c>
      <c r="H1450" s="514">
        <v>0</v>
      </c>
      <c r="I1450" s="514">
        <v>0</v>
      </c>
      <c r="J1450" s="514">
        <v>0</v>
      </c>
      <c r="K1450" s="514">
        <v>0</v>
      </c>
      <c r="L1450" s="514">
        <v>0</v>
      </c>
      <c r="M1450" s="514">
        <v>0</v>
      </c>
      <c r="N1450" s="514">
        <v>0</v>
      </c>
      <c r="O1450" s="499"/>
      <c r="P1450" s="499"/>
      <c r="Q1450" s="499"/>
    </row>
    <row r="1451" spans="1:17" ht="14.4" x14ac:dyDescent="0.3">
      <c r="A1451" s="502">
        <v>4510800</v>
      </c>
      <c r="B1451" s="503" t="s">
        <v>599</v>
      </c>
      <c r="C1451" s="514">
        <v>8508.51</v>
      </c>
      <c r="D1451" s="514">
        <v>7316.32</v>
      </c>
      <c r="E1451" s="514">
        <v>8847.85</v>
      </c>
      <c r="F1451" s="514">
        <v>8622.85</v>
      </c>
      <c r="G1451" s="514">
        <v>8795.92</v>
      </c>
      <c r="H1451" s="514">
        <v>8002.13</v>
      </c>
      <c r="I1451" s="514">
        <v>8788.7199999999993</v>
      </c>
      <c r="J1451" s="514">
        <v>8791.43</v>
      </c>
      <c r="K1451" s="514">
        <v>8880.6</v>
      </c>
      <c r="L1451" s="514">
        <v>8968.75</v>
      </c>
      <c r="M1451" s="514">
        <v>9057.93</v>
      </c>
      <c r="N1451" s="514">
        <v>9149.15</v>
      </c>
      <c r="O1451" s="499"/>
      <c r="P1451" s="499"/>
      <c r="Q1451" s="499"/>
    </row>
    <row r="1452" spans="1:17" ht="14.4" x14ac:dyDescent="0.3">
      <c r="A1452" s="502">
        <v>4540010</v>
      </c>
      <c r="B1452" s="503" t="s">
        <v>627</v>
      </c>
      <c r="C1452" s="514">
        <v>27939</v>
      </c>
      <c r="D1452" s="514">
        <v>440242</v>
      </c>
      <c r="E1452" s="514">
        <v>20417</v>
      </c>
      <c r="F1452" s="514">
        <v>33945</v>
      </c>
      <c r="G1452" s="514">
        <v>248</v>
      </c>
      <c r="H1452" s="514">
        <v>3636</v>
      </c>
      <c r="I1452" s="514">
        <v>8456</v>
      </c>
      <c r="J1452" s="514">
        <v>85863</v>
      </c>
      <c r="K1452" s="514">
        <v>19148</v>
      </c>
      <c r="L1452" s="514">
        <v>32749</v>
      </c>
      <c r="M1452" s="514">
        <v>24511</v>
      </c>
      <c r="N1452" s="514">
        <v>31119</v>
      </c>
      <c r="O1452" s="499"/>
      <c r="P1452" s="499"/>
      <c r="Q1452" s="499"/>
    </row>
    <row r="1453" spans="1:17" ht="14.4" x14ac:dyDescent="0.3">
      <c r="A1453" s="502">
        <v>4540020</v>
      </c>
      <c r="B1453" s="503" t="s">
        <v>629</v>
      </c>
      <c r="C1453" s="514">
        <v>4021</v>
      </c>
      <c r="D1453" s="514">
        <v>369</v>
      </c>
      <c r="E1453" s="514">
        <v>377</v>
      </c>
      <c r="F1453" s="514">
        <v>6685</v>
      </c>
      <c r="G1453" s="514">
        <v>2178</v>
      </c>
      <c r="H1453" s="514">
        <v>0</v>
      </c>
      <c r="I1453" s="514">
        <v>0</v>
      </c>
      <c r="J1453" s="514">
        <v>4624</v>
      </c>
      <c r="K1453" s="514">
        <v>2235</v>
      </c>
      <c r="L1453" s="514">
        <v>6324</v>
      </c>
      <c r="M1453" s="514">
        <v>543</v>
      </c>
      <c r="N1453" s="514">
        <v>102</v>
      </c>
      <c r="O1453" s="499"/>
      <c r="P1453" s="499"/>
      <c r="Q1453" s="499"/>
    </row>
    <row r="1454" spans="1:17" ht="14.4" x14ac:dyDescent="0.3">
      <c r="A1454" s="502">
        <v>4540030</v>
      </c>
      <c r="B1454" s="503" t="s">
        <v>631</v>
      </c>
      <c r="C1454" s="514">
        <v>9913.83</v>
      </c>
      <c r="D1454" s="514">
        <v>9913.83</v>
      </c>
      <c r="E1454" s="514">
        <v>9913.83</v>
      </c>
      <c r="F1454" s="514">
        <v>9913.83</v>
      </c>
      <c r="G1454" s="514">
        <v>9913.83</v>
      </c>
      <c r="H1454" s="514">
        <v>9913.83</v>
      </c>
      <c r="I1454" s="514">
        <v>9913.83</v>
      </c>
      <c r="J1454" s="514">
        <v>9913.83</v>
      </c>
      <c r="K1454" s="514">
        <v>9913.83</v>
      </c>
      <c r="L1454" s="514">
        <v>9913.83</v>
      </c>
      <c r="M1454" s="514">
        <v>9913.83</v>
      </c>
      <c r="N1454" s="514">
        <v>9913.83</v>
      </c>
      <c r="O1454" s="499"/>
      <c r="P1454" s="499"/>
      <c r="Q1454" s="499"/>
    </row>
    <row r="1455" spans="1:17" ht="14.4" x14ac:dyDescent="0.3">
      <c r="A1455" s="502">
        <v>4540040</v>
      </c>
      <c r="B1455" s="503" t="s">
        <v>635</v>
      </c>
      <c r="C1455" s="514">
        <v>33184</v>
      </c>
      <c r="D1455" s="514">
        <v>33184</v>
      </c>
      <c r="E1455" s="514">
        <v>33184</v>
      </c>
      <c r="F1455" s="514">
        <v>33184</v>
      </c>
      <c r="G1455" s="514">
        <v>33184</v>
      </c>
      <c r="H1455" s="514">
        <v>33184</v>
      </c>
      <c r="I1455" s="514">
        <v>33184</v>
      </c>
      <c r="J1455" s="514">
        <v>33184</v>
      </c>
      <c r="K1455" s="514">
        <v>33184</v>
      </c>
      <c r="L1455" s="514">
        <v>33184</v>
      </c>
      <c r="M1455" s="514">
        <v>33184</v>
      </c>
      <c r="N1455" s="514">
        <v>33184</v>
      </c>
      <c r="O1455" s="499"/>
      <c r="P1455" s="499"/>
      <c r="Q1455" s="499"/>
    </row>
    <row r="1456" spans="1:17" ht="14.4" x14ac:dyDescent="0.3">
      <c r="A1456" s="502">
        <v>4540050</v>
      </c>
      <c r="B1456" s="503" t="s">
        <v>3100</v>
      </c>
      <c r="C1456" s="514">
        <v>0</v>
      </c>
      <c r="D1456" s="514">
        <v>0</v>
      </c>
      <c r="E1456" s="514">
        <v>0</v>
      </c>
      <c r="F1456" s="514">
        <v>0</v>
      </c>
      <c r="G1456" s="514">
        <v>0</v>
      </c>
      <c r="H1456" s="514">
        <v>0</v>
      </c>
      <c r="I1456" s="514">
        <v>0</v>
      </c>
      <c r="J1456" s="514">
        <v>0</v>
      </c>
      <c r="K1456" s="514">
        <v>0</v>
      </c>
      <c r="L1456" s="514">
        <v>0</v>
      </c>
      <c r="M1456" s="514">
        <v>0</v>
      </c>
      <c r="N1456" s="514">
        <v>0</v>
      </c>
      <c r="O1456" s="499"/>
      <c r="P1456" s="499"/>
      <c r="Q1456" s="499"/>
    </row>
    <row r="1457" spans="1:17" ht="14.4" x14ac:dyDescent="0.3">
      <c r="A1457" s="502">
        <v>4540080</v>
      </c>
      <c r="B1457" s="503" t="s">
        <v>3101</v>
      </c>
      <c r="C1457" s="514">
        <v>0</v>
      </c>
      <c r="D1457" s="514">
        <v>0</v>
      </c>
      <c r="E1457" s="514">
        <v>0</v>
      </c>
      <c r="F1457" s="514">
        <v>0</v>
      </c>
      <c r="G1457" s="514">
        <v>0</v>
      </c>
      <c r="H1457" s="514">
        <v>0</v>
      </c>
      <c r="I1457" s="514">
        <v>0</v>
      </c>
      <c r="J1457" s="514">
        <v>0</v>
      </c>
      <c r="K1457" s="514">
        <v>0</v>
      </c>
      <c r="L1457" s="514">
        <v>0</v>
      </c>
      <c r="M1457" s="514">
        <v>0</v>
      </c>
      <c r="N1457" s="514">
        <v>0</v>
      </c>
      <c r="O1457" s="499"/>
      <c r="P1457" s="499"/>
      <c r="Q1457" s="499"/>
    </row>
    <row r="1458" spans="1:17" ht="14.4" x14ac:dyDescent="0.3">
      <c r="A1458" s="502">
        <v>4540081</v>
      </c>
      <c r="B1458" s="503" t="s">
        <v>633</v>
      </c>
      <c r="C1458" s="514">
        <v>398377.17</v>
      </c>
      <c r="D1458" s="514">
        <v>398377.18</v>
      </c>
      <c r="E1458" s="514">
        <v>402926.31</v>
      </c>
      <c r="F1458" s="514">
        <v>402926.31</v>
      </c>
      <c r="G1458" s="514">
        <v>402926.3</v>
      </c>
      <c r="H1458" s="514">
        <v>402926.31</v>
      </c>
      <c r="I1458" s="514">
        <v>402912.49</v>
      </c>
      <c r="J1458" s="514">
        <v>402992.08</v>
      </c>
      <c r="K1458" s="514">
        <v>402992.08</v>
      </c>
      <c r="L1458" s="514">
        <v>402992.08</v>
      </c>
      <c r="M1458" s="514">
        <v>402992.08</v>
      </c>
      <c r="N1458" s="514">
        <v>402992.08</v>
      </c>
      <c r="O1458" s="499"/>
      <c r="P1458" s="499"/>
      <c r="Q1458" s="499"/>
    </row>
    <row r="1459" spans="1:17" ht="14.4" x14ac:dyDescent="0.3">
      <c r="A1459" s="502">
        <v>4540090</v>
      </c>
      <c r="B1459" s="503" t="s">
        <v>3102</v>
      </c>
      <c r="C1459" s="514">
        <v>0</v>
      </c>
      <c r="D1459" s="514">
        <v>0</v>
      </c>
      <c r="E1459" s="514">
        <v>0</v>
      </c>
      <c r="F1459" s="514">
        <v>0</v>
      </c>
      <c r="G1459" s="514">
        <v>0</v>
      </c>
      <c r="H1459" s="514">
        <v>0</v>
      </c>
      <c r="I1459" s="514">
        <v>0</v>
      </c>
      <c r="J1459" s="514">
        <v>0</v>
      </c>
      <c r="K1459" s="514">
        <v>0</v>
      </c>
      <c r="L1459" s="514">
        <v>0</v>
      </c>
      <c r="M1459" s="514">
        <v>0</v>
      </c>
      <c r="N1459" s="514">
        <v>0</v>
      </c>
      <c r="O1459" s="499"/>
      <c r="P1459" s="499"/>
      <c r="Q1459" s="499"/>
    </row>
    <row r="1460" spans="1:17" ht="14.4" x14ac:dyDescent="0.3">
      <c r="A1460" s="502">
        <v>4540700</v>
      </c>
      <c r="B1460" s="503" t="s">
        <v>637</v>
      </c>
      <c r="C1460" s="514">
        <v>57739.14</v>
      </c>
      <c r="D1460" s="514">
        <v>57739.14</v>
      </c>
      <c r="E1460" s="514">
        <v>57739.14</v>
      </c>
      <c r="F1460" s="514">
        <v>57739.14</v>
      </c>
      <c r="G1460" s="514">
        <v>57739.14</v>
      </c>
      <c r="H1460" s="514">
        <v>57739.14</v>
      </c>
      <c r="I1460" s="514">
        <v>57739.14</v>
      </c>
      <c r="J1460" s="514">
        <v>57739.14</v>
      </c>
      <c r="K1460" s="514">
        <v>57739.14</v>
      </c>
      <c r="L1460" s="514">
        <v>57739.14</v>
      </c>
      <c r="M1460" s="514">
        <v>57739.14</v>
      </c>
      <c r="N1460" s="514">
        <v>57739.14</v>
      </c>
      <c r="O1460" s="499"/>
      <c r="P1460" s="499"/>
      <c r="Q1460" s="499"/>
    </row>
    <row r="1461" spans="1:17" ht="14.4" x14ac:dyDescent="0.3">
      <c r="A1461" s="502">
        <v>4540701</v>
      </c>
      <c r="B1461" s="503" t="s">
        <v>639</v>
      </c>
      <c r="C1461" s="514">
        <v>475326.28</v>
      </c>
      <c r="D1461" s="514">
        <v>471816.37</v>
      </c>
      <c r="E1461" s="514">
        <v>471188.67</v>
      </c>
      <c r="F1461" s="514">
        <v>470721.63</v>
      </c>
      <c r="G1461" s="514">
        <v>470826.5</v>
      </c>
      <c r="H1461" s="514">
        <v>471538.56</v>
      </c>
      <c r="I1461" s="514">
        <v>470431.94</v>
      </c>
      <c r="J1461" s="514">
        <v>467407.44</v>
      </c>
      <c r="K1461" s="514">
        <v>466815.36</v>
      </c>
      <c r="L1461" s="514">
        <v>467926.07</v>
      </c>
      <c r="M1461" s="514">
        <v>466782.6</v>
      </c>
      <c r="N1461" s="514">
        <v>470569.48</v>
      </c>
      <c r="O1461" s="499"/>
      <c r="P1461" s="499"/>
      <c r="Q1461" s="499"/>
    </row>
    <row r="1462" spans="1:17" ht="14.4" x14ac:dyDescent="0.3">
      <c r="A1462" s="502">
        <v>4540800</v>
      </c>
      <c r="B1462" s="503" t="s">
        <v>641</v>
      </c>
      <c r="C1462" s="514">
        <v>226833.33</v>
      </c>
      <c r="D1462" s="514">
        <v>226833.33</v>
      </c>
      <c r="E1462" s="514">
        <v>226833.33</v>
      </c>
      <c r="F1462" s="514">
        <v>226833.33</v>
      </c>
      <c r="G1462" s="514">
        <v>226833.33</v>
      </c>
      <c r="H1462" s="514">
        <v>226833.33</v>
      </c>
      <c r="I1462" s="514">
        <v>226833.33</v>
      </c>
      <c r="J1462" s="514">
        <v>226833.33</v>
      </c>
      <c r="K1462" s="514">
        <v>226833.33</v>
      </c>
      <c r="L1462" s="514">
        <v>226833.33</v>
      </c>
      <c r="M1462" s="514">
        <v>226833.33</v>
      </c>
      <c r="N1462" s="514">
        <v>226833.33</v>
      </c>
      <c r="O1462" s="499"/>
      <c r="P1462" s="499"/>
      <c r="Q1462" s="499"/>
    </row>
    <row r="1463" spans="1:17" ht="14.4" x14ac:dyDescent="0.3">
      <c r="A1463" s="502">
        <v>4550000</v>
      </c>
      <c r="B1463" s="503" t="s">
        <v>643</v>
      </c>
      <c r="C1463" s="514">
        <v>0</v>
      </c>
      <c r="D1463" s="514">
        <v>0</v>
      </c>
      <c r="E1463" s="514">
        <v>0</v>
      </c>
      <c r="F1463" s="514">
        <v>0</v>
      </c>
      <c r="G1463" s="514">
        <v>0</v>
      </c>
      <c r="H1463" s="514">
        <v>0</v>
      </c>
      <c r="I1463" s="514">
        <v>0</v>
      </c>
      <c r="J1463" s="514">
        <v>0</v>
      </c>
      <c r="K1463" s="514">
        <v>0</v>
      </c>
      <c r="L1463" s="514">
        <v>0</v>
      </c>
      <c r="M1463" s="514">
        <v>0</v>
      </c>
      <c r="N1463" s="514">
        <v>0</v>
      </c>
      <c r="O1463" s="499"/>
      <c r="P1463" s="499"/>
      <c r="Q1463" s="499"/>
    </row>
    <row r="1464" spans="1:17" ht="14.4" x14ac:dyDescent="0.3">
      <c r="A1464" s="502">
        <v>4550001</v>
      </c>
      <c r="B1464" s="503" t="s">
        <v>645</v>
      </c>
      <c r="C1464" s="514">
        <v>0</v>
      </c>
      <c r="D1464" s="514">
        <v>0</v>
      </c>
      <c r="E1464" s="514">
        <v>0</v>
      </c>
      <c r="F1464" s="514">
        <v>0</v>
      </c>
      <c r="G1464" s="514">
        <v>0</v>
      </c>
      <c r="H1464" s="514">
        <v>0</v>
      </c>
      <c r="I1464" s="514">
        <v>0</v>
      </c>
      <c r="J1464" s="514">
        <v>0</v>
      </c>
      <c r="K1464" s="514">
        <v>0</v>
      </c>
      <c r="L1464" s="514">
        <v>0</v>
      </c>
      <c r="M1464" s="514">
        <v>0</v>
      </c>
      <c r="N1464" s="514">
        <v>0</v>
      </c>
      <c r="O1464" s="499"/>
      <c r="P1464" s="499"/>
      <c r="Q1464" s="499"/>
    </row>
    <row r="1465" spans="1:17" ht="14.4" x14ac:dyDescent="0.3">
      <c r="A1465" s="502">
        <v>4560010</v>
      </c>
      <c r="B1465" s="503" t="s">
        <v>3103</v>
      </c>
      <c r="C1465" s="514">
        <v>0</v>
      </c>
      <c r="D1465" s="514">
        <v>0</v>
      </c>
      <c r="E1465" s="514">
        <v>0</v>
      </c>
      <c r="F1465" s="514">
        <v>0</v>
      </c>
      <c r="G1465" s="514">
        <v>0</v>
      </c>
      <c r="H1465" s="514">
        <v>0</v>
      </c>
      <c r="I1465" s="514">
        <v>0</v>
      </c>
      <c r="J1465" s="514">
        <v>0</v>
      </c>
      <c r="K1465" s="514">
        <v>0</v>
      </c>
      <c r="L1465" s="514">
        <v>0</v>
      </c>
      <c r="M1465" s="514">
        <v>0</v>
      </c>
      <c r="N1465" s="514">
        <v>0</v>
      </c>
      <c r="O1465" s="499"/>
      <c r="P1465" s="499"/>
      <c r="Q1465" s="499"/>
    </row>
    <row r="1466" spans="1:17" ht="14.4" x14ac:dyDescent="0.3">
      <c r="A1466" s="502">
        <v>4560020</v>
      </c>
      <c r="B1466" s="503" t="s">
        <v>649</v>
      </c>
      <c r="C1466" s="514">
        <v>167000</v>
      </c>
      <c r="D1466" s="514">
        <v>267000</v>
      </c>
      <c r="E1466" s="514">
        <v>167000</v>
      </c>
      <c r="F1466" s="514">
        <v>266000</v>
      </c>
      <c r="G1466" s="514">
        <v>167000</v>
      </c>
      <c r="H1466" s="514">
        <v>267000</v>
      </c>
      <c r="I1466" s="514">
        <v>166000</v>
      </c>
      <c r="J1466" s="514">
        <v>267000</v>
      </c>
      <c r="K1466" s="514">
        <v>166000</v>
      </c>
      <c r="L1466" s="514">
        <v>267000</v>
      </c>
      <c r="M1466" s="514">
        <v>167000</v>
      </c>
      <c r="N1466" s="514">
        <v>266000</v>
      </c>
      <c r="O1466" s="499"/>
      <c r="P1466" s="499"/>
      <c r="Q1466" s="499"/>
    </row>
    <row r="1467" spans="1:17" ht="14.4" x14ac:dyDescent="0.3">
      <c r="A1467" s="502">
        <v>4560030</v>
      </c>
      <c r="B1467" s="503" t="s">
        <v>651</v>
      </c>
      <c r="C1467" s="514">
        <v>8000</v>
      </c>
      <c r="D1467" s="514">
        <v>8000</v>
      </c>
      <c r="E1467" s="514">
        <v>8000</v>
      </c>
      <c r="F1467" s="514">
        <v>8000</v>
      </c>
      <c r="G1467" s="514">
        <v>8000</v>
      </c>
      <c r="H1467" s="514">
        <v>9000</v>
      </c>
      <c r="I1467" s="514">
        <v>10000</v>
      </c>
      <c r="J1467" s="514">
        <v>11000</v>
      </c>
      <c r="K1467" s="514">
        <v>11000</v>
      </c>
      <c r="L1467" s="514">
        <v>10000</v>
      </c>
      <c r="M1467" s="514">
        <v>8000</v>
      </c>
      <c r="N1467" s="514">
        <v>8000</v>
      </c>
      <c r="O1467" s="499"/>
      <c r="P1467" s="499"/>
      <c r="Q1467" s="499"/>
    </row>
    <row r="1468" spans="1:17" ht="14.4" x14ac:dyDescent="0.3">
      <c r="A1468" s="502">
        <v>4560040</v>
      </c>
      <c r="B1468" s="503" t="s">
        <v>3104</v>
      </c>
      <c r="C1468" s="514">
        <v>0</v>
      </c>
      <c r="D1468" s="514">
        <v>0</v>
      </c>
      <c r="E1468" s="514">
        <v>0</v>
      </c>
      <c r="F1468" s="514">
        <v>0</v>
      </c>
      <c r="G1468" s="514">
        <v>0</v>
      </c>
      <c r="H1468" s="514">
        <v>0</v>
      </c>
      <c r="I1468" s="514">
        <v>0</v>
      </c>
      <c r="J1468" s="514">
        <v>0</v>
      </c>
      <c r="K1468" s="514">
        <v>0</v>
      </c>
      <c r="L1468" s="514">
        <v>0</v>
      </c>
      <c r="M1468" s="514">
        <v>0</v>
      </c>
      <c r="N1468" s="514">
        <v>0</v>
      </c>
      <c r="O1468" s="499"/>
      <c r="P1468" s="499"/>
      <c r="Q1468" s="499"/>
    </row>
    <row r="1469" spans="1:17" ht="14.4" x14ac:dyDescent="0.3">
      <c r="A1469" s="502">
        <v>4560045</v>
      </c>
      <c r="B1469" s="503" t="s">
        <v>3105</v>
      </c>
      <c r="C1469" s="514">
        <v>0</v>
      </c>
      <c r="D1469" s="514">
        <v>0</v>
      </c>
      <c r="E1469" s="514">
        <v>0</v>
      </c>
      <c r="F1469" s="514">
        <v>0</v>
      </c>
      <c r="G1469" s="514">
        <v>0</v>
      </c>
      <c r="H1469" s="514">
        <v>0</v>
      </c>
      <c r="I1469" s="514">
        <v>0</v>
      </c>
      <c r="J1469" s="514">
        <v>0</v>
      </c>
      <c r="K1469" s="514">
        <v>0</v>
      </c>
      <c r="L1469" s="514">
        <v>0</v>
      </c>
      <c r="M1469" s="514">
        <v>0</v>
      </c>
      <c r="N1469" s="514">
        <v>0</v>
      </c>
      <c r="O1469" s="499"/>
      <c r="P1469" s="499"/>
      <c r="Q1469" s="499"/>
    </row>
    <row r="1470" spans="1:17" ht="14.4" x14ac:dyDescent="0.3">
      <c r="A1470" s="502">
        <v>4560050</v>
      </c>
      <c r="B1470" s="503" t="s">
        <v>653</v>
      </c>
      <c r="C1470" s="514">
        <v>0</v>
      </c>
      <c r="D1470" s="514">
        <v>0</v>
      </c>
      <c r="E1470" s="514">
        <v>0</v>
      </c>
      <c r="F1470" s="514">
        <v>0</v>
      </c>
      <c r="G1470" s="514">
        <v>0</v>
      </c>
      <c r="H1470" s="514">
        <v>0</v>
      </c>
      <c r="I1470" s="514">
        <v>0</v>
      </c>
      <c r="J1470" s="514">
        <v>0</v>
      </c>
      <c r="K1470" s="514">
        <v>0</v>
      </c>
      <c r="L1470" s="514">
        <v>0</v>
      </c>
      <c r="M1470" s="514">
        <v>0</v>
      </c>
      <c r="N1470" s="514">
        <v>0</v>
      </c>
      <c r="O1470" s="499"/>
      <c r="P1470" s="499"/>
      <c r="Q1470" s="499"/>
    </row>
    <row r="1471" spans="1:17" ht="14.4" x14ac:dyDescent="0.3">
      <c r="A1471" s="502">
        <v>4560060</v>
      </c>
      <c r="B1471" s="503" t="s">
        <v>3106</v>
      </c>
      <c r="C1471" s="514">
        <v>0</v>
      </c>
      <c r="D1471" s="514">
        <v>0</v>
      </c>
      <c r="E1471" s="514">
        <v>0</v>
      </c>
      <c r="F1471" s="514">
        <v>0</v>
      </c>
      <c r="G1471" s="514">
        <v>0</v>
      </c>
      <c r="H1471" s="514">
        <v>0</v>
      </c>
      <c r="I1471" s="514">
        <v>0</v>
      </c>
      <c r="J1471" s="514">
        <v>0</v>
      </c>
      <c r="K1471" s="514">
        <v>0</v>
      </c>
      <c r="L1471" s="514">
        <v>0</v>
      </c>
      <c r="M1471" s="514">
        <v>0</v>
      </c>
      <c r="N1471" s="514">
        <v>0</v>
      </c>
      <c r="O1471" s="499"/>
      <c r="P1471" s="499"/>
      <c r="Q1471" s="499"/>
    </row>
    <row r="1472" spans="1:17" ht="14.4" x14ac:dyDescent="0.3">
      <c r="A1472" s="502">
        <v>4560080</v>
      </c>
      <c r="B1472" s="503" t="s">
        <v>655</v>
      </c>
      <c r="C1472" s="514">
        <v>10100</v>
      </c>
      <c r="D1472" s="514">
        <v>10100</v>
      </c>
      <c r="E1472" s="514">
        <v>10100</v>
      </c>
      <c r="F1472" s="514">
        <v>10100</v>
      </c>
      <c r="G1472" s="514">
        <v>10100</v>
      </c>
      <c r="H1472" s="514">
        <v>10100</v>
      </c>
      <c r="I1472" s="514">
        <v>10100</v>
      </c>
      <c r="J1472" s="514">
        <v>10100</v>
      </c>
      <c r="K1472" s="514">
        <v>10100</v>
      </c>
      <c r="L1472" s="514">
        <v>10100</v>
      </c>
      <c r="M1472" s="514">
        <v>10100</v>
      </c>
      <c r="N1472" s="514">
        <v>10100</v>
      </c>
      <c r="O1472" s="499"/>
      <c r="P1472" s="499"/>
      <c r="Q1472" s="499"/>
    </row>
    <row r="1473" spans="1:17" ht="14.4" x14ac:dyDescent="0.3">
      <c r="A1473" s="502">
        <v>4560081</v>
      </c>
      <c r="B1473" s="503" t="s">
        <v>3107</v>
      </c>
      <c r="C1473" s="514">
        <v>0</v>
      </c>
      <c r="D1473" s="514">
        <v>0</v>
      </c>
      <c r="E1473" s="514">
        <v>0</v>
      </c>
      <c r="F1473" s="514">
        <v>0</v>
      </c>
      <c r="G1473" s="514">
        <v>0</v>
      </c>
      <c r="H1473" s="514">
        <v>0</v>
      </c>
      <c r="I1473" s="514">
        <v>0</v>
      </c>
      <c r="J1473" s="514">
        <v>0</v>
      </c>
      <c r="K1473" s="514">
        <v>0</v>
      </c>
      <c r="L1473" s="514">
        <v>0</v>
      </c>
      <c r="M1473" s="514">
        <v>0</v>
      </c>
      <c r="N1473" s="514">
        <v>0</v>
      </c>
      <c r="O1473" s="499"/>
      <c r="P1473" s="499"/>
      <c r="Q1473" s="499"/>
    </row>
    <row r="1474" spans="1:17" ht="14.4" x14ac:dyDescent="0.3">
      <c r="A1474" s="502">
        <v>4560090</v>
      </c>
      <c r="B1474" s="503" t="s">
        <v>3108</v>
      </c>
      <c r="C1474" s="514">
        <v>0</v>
      </c>
      <c r="D1474" s="514">
        <v>0</v>
      </c>
      <c r="E1474" s="514">
        <v>0</v>
      </c>
      <c r="F1474" s="514">
        <v>0</v>
      </c>
      <c r="G1474" s="514">
        <v>0</v>
      </c>
      <c r="H1474" s="514">
        <v>0</v>
      </c>
      <c r="I1474" s="514">
        <v>0</v>
      </c>
      <c r="J1474" s="514">
        <v>0</v>
      </c>
      <c r="K1474" s="514">
        <v>0</v>
      </c>
      <c r="L1474" s="514">
        <v>0</v>
      </c>
      <c r="M1474" s="514">
        <v>0</v>
      </c>
      <c r="N1474" s="514">
        <v>0</v>
      </c>
      <c r="O1474" s="499"/>
      <c r="P1474" s="499"/>
      <c r="Q1474" s="499"/>
    </row>
    <row r="1475" spans="1:17" ht="14.4" x14ac:dyDescent="0.3">
      <c r="A1475" s="502">
        <v>4560100</v>
      </c>
      <c r="B1475" s="503" t="s">
        <v>3109</v>
      </c>
      <c r="C1475" s="514">
        <v>0</v>
      </c>
      <c r="D1475" s="514">
        <v>0</v>
      </c>
      <c r="E1475" s="514">
        <v>0</v>
      </c>
      <c r="F1475" s="514">
        <v>0</v>
      </c>
      <c r="G1475" s="514">
        <v>0</v>
      </c>
      <c r="H1475" s="514">
        <v>0</v>
      </c>
      <c r="I1475" s="514">
        <v>0</v>
      </c>
      <c r="J1475" s="514">
        <v>0</v>
      </c>
      <c r="K1475" s="514">
        <v>0</v>
      </c>
      <c r="L1475" s="514">
        <v>0</v>
      </c>
      <c r="M1475" s="514">
        <v>0</v>
      </c>
      <c r="N1475" s="514">
        <v>0</v>
      </c>
      <c r="O1475" s="499"/>
      <c r="P1475" s="499"/>
      <c r="Q1475" s="499"/>
    </row>
    <row r="1476" spans="1:17" ht="14.4" x14ac:dyDescent="0.3">
      <c r="A1476" s="502">
        <v>4560110</v>
      </c>
      <c r="B1476" s="503" t="s">
        <v>3110</v>
      </c>
      <c r="C1476" s="514">
        <v>0</v>
      </c>
      <c r="D1476" s="514">
        <v>0</v>
      </c>
      <c r="E1476" s="514">
        <v>0</v>
      </c>
      <c r="F1476" s="514">
        <v>0</v>
      </c>
      <c r="G1476" s="514">
        <v>0</v>
      </c>
      <c r="H1476" s="514">
        <v>0</v>
      </c>
      <c r="I1476" s="514">
        <v>0</v>
      </c>
      <c r="J1476" s="514">
        <v>0</v>
      </c>
      <c r="K1476" s="514">
        <v>0</v>
      </c>
      <c r="L1476" s="514">
        <v>0</v>
      </c>
      <c r="M1476" s="514">
        <v>0</v>
      </c>
      <c r="N1476" s="514">
        <v>0</v>
      </c>
      <c r="O1476" s="499"/>
      <c r="P1476" s="499"/>
      <c r="Q1476" s="499"/>
    </row>
    <row r="1477" spans="1:17" ht="14.4" x14ac:dyDescent="0.3">
      <c r="A1477" s="502">
        <v>4560120</v>
      </c>
      <c r="B1477" s="503" t="s">
        <v>657</v>
      </c>
      <c r="C1477" s="514">
        <v>1766.07</v>
      </c>
      <c r="D1477" s="514">
        <v>1473.64</v>
      </c>
      <c r="E1477" s="514">
        <v>1467.53</v>
      </c>
      <c r="F1477" s="514">
        <v>76542.929999999993</v>
      </c>
      <c r="G1477" s="514">
        <v>1727.06</v>
      </c>
      <c r="H1477" s="514">
        <v>1405</v>
      </c>
      <c r="I1477" s="514">
        <v>11610.49</v>
      </c>
      <c r="J1477" s="514">
        <v>6536.67</v>
      </c>
      <c r="K1477" s="514">
        <v>76496.02</v>
      </c>
      <c r="L1477" s="514">
        <v>1703.27</v>
      </c>
      <c r="M1477" s="514">
        <v>1482.32</v>
      </c>
      <c r="N1477" s="514">
        <v>1559.53</v>
      </c>
      <c r="O1477" s="499"/>
      <c r="P1477" s="499"/>
      <c r="Q1477" s="499"/>
    </row>
    <row r="1478" spans="1:17" ht="14.4" x14ac:dyDescent="0.3">
      <c r="A1478" s="502">
        <v>4560130</v>
      </c>
      <c r="B1478" s="503" t="s">
        <v>3111</v>
      </c>
      <c r="C1478" s="514">
        <v>0</v>
      </c>
      <c r="D1478" s="514">
        <v>0</v>
      </c>
      <c r="E1478" s="514">
        <v>0</v>
      </c>
      <c r="F1478" s="514">
        <v>0</v>
      </c>
      <c r="G1478" s="514">
        <v>0</v>
      </c>
      <c r="H1478" s="514">
        <v>0</v>
      </c>
      <c r="I1478" s="514">
        <v>0</v>
      </c>
      <c r="J1478" s="514">
        <v>0</v>
      </c>
      <c r="K1478" s="514">
        <v>0</v>
      </c>
      <c r="L1478" s="514">
        <v>0</v>
      </c>
      <c r="M1478" s="514">
        <v>0</v>
      </c>
      <c r="N1478" s="514">
        <v>0</v>
      </c>
      <c r="O1478" s="499"/>
      <c r="P1478" s="499"/>
      <c r="Q1478" s="499"/>
    </row>
    <row r="1479" spans="1:17" ht="14.4" x14ac:dyDescent="0.3">
      <c r="A1479" s="502">
        <v>4560140</v>
      </c>
      <c r="B1479" s="503" t="s">
        <v>3112</v>
      </c>
      <c r="C1479" s="514">
        <v>0</v>
      </c>
      <c r="D1479" s="514">
        <v>0</v>
      </c>
      <c r="E1479" s="514">
        <v>0</v>
      </c>
      <c r="F1479" s="514">
        <v>0</v>
      </c>
      <c r="G1479" s="514">
        <v>0</v>
      </c>
      <c r="H1479" s="514">
        <v>0</v>
      </c>
      <c r="I1479" s="514">
        <v>0</v>
      </c>
      <c r="J1479" s="514">
        <v>0</v>
      </c>
      <c r="K1479" s="514">
        <v>0</v>
      </c>
      <c r="L1479" s="514">
        <v>0</v>
      </c>
      <c r="M1479" s="514">
        <v>0</v>
      </c>
      <c r="N1479" s="514">
        <v>0</v>
      </c>
      <c r="O1479" s="499"/>
      <c r="P1479" s="499"/>
      <c r="Q1479" s="499"/>
    </row>
    <row r="1480" spans="1:17" ht="14.4" x14ac:dyDescent="0.3">
      <c r="A1480" s="502">
        <v>4560150</v>
      </c>
      <c r="B1480" s="503" t="s">
        <v>3113</v>
      </c>
      <c r="C1480" s="514">
        <v>0</v>
      </c>
      <c r="D1480" s="514">
        <v>0</v>
      </c>
      <c r="E1480" s="514">
        <v>0</v>
      </c>
      <c r="F1480" s="514">
        <v>0</v>
      </c>
      <c r="G1480" s="514">
        <v>0</v>
      </c>
      <c r="H1480" s="514">
        <v>0</v>
      </c>
      <c r="I1480" s="514">
        <v>0</v>
      </c>
      <c r="J1480" s="514">
        <v>0</v>
      </c>
      <c r="K1480" s="514">
        <v>0</v>
      </c>
      <c r="L1480" s="514">
        <v>0</v>
      </c>
      <c r="M1480" s="514">
        <v>0</v>
      </c>
      <c r="N1480" s="514">
        <v>0</v>
      </c>
      <c r="O1480" s="499"/>
      <c r="P1480" s="499"/>
      <c r="Q1480" s="499"/>
    </row>
    <row r="1481" spans="1:17" ht="14.4" x14ac:dyDescent="0.3">
      <c r="A1481" s="502">
        <v>4560160</v>
      </c>
      <c r="B1481" s="503" t="s">
        <v>3114</v>
      </c>
      <c r="C1481" s="514">
        <v>0</v>
      </c>
      <c r="D1481" s="514">
        <v>0</v>
      </c>
      <c r="E1481" s="514">
        <v>0</v>
      </c>
      <c r="F1481" s="514">
        <v>0</v>
      </c>
      <c r="G1481" s="514">
        <v>0</v>
      </c>
      <c r="H1481" s="514">
        <v>0</v>
      </c>
      <c r="I1481" s="514">
        <v>0</v>
      </c>
      <c r="J1481" s="514">
        <v>0</v>
      </c>
      <c r="K1481" s="514">
        <v>0</v>
      </c>
      <c r="L1481" s="514">
        <v>0</v>
      </c>
      <c r="M1481" s="514">
        <v>0</v>
      </c>
      <c r="N1481" s="514">
        <v>0</v>
      </c>
      <c r="O1481" s="499"/>
      <c r="P1481" s="499"/>
      <c r="Q1481" s="499"/>
    </row>
    <row r="1482" spans="1:17" ht="14.4" x14ac:dyDescent="0.3">
      <c r="A1482" s="502">
        <v>4560170</v>
      </c>
      <c r="B1482" s="503" t="s">
        <v>3115</v>
      </c>
      <c r="C1482" s="514">
        <v>0</v>
      </c>
      <c r="D1482" s="514">
        <v>0</v>
      </c>
      <c r="E1482" s="514">
        <v>0</v>
      </c>
      <c r="F1482" s="514">
        <v>0</v>
      </c>
      <c r="G1482" s="514">
        <v>0</v>
      </c>
      <c r="H1482" s="514">
        <v>0</v>
      </c>
      <c r="I1482" s="514">
        <v>0</v>
      </c>
      <c r="J1482" s="514">
        <v>0</v>
      </c>
      <c r="K1482" s="514">
        <v>0</v>
      </c>
      <c r="L1482" s="514">
        <v>0</v>
      </c>
      <c r="M1482" s="514">
        <v>0</v>
      </c>
      <c r="N1482" s="514">
        <v>0</v>
      </c>
      <c r="O1482" s="499"/>
      <c r="P1482" s="499"/>
      <c r="Q1482" s="499"/>
    </row>
    <row r="1483" spans="1:17" ht="14.4" x14ac:dyDescent="0.3">
      <c r="A1483" s="502">
        <v>4560180</v>
      </c>
      <c r="B1483" s="503" t="s">
        <v>659</v>
      </c>
      <c r="C1483" s="514">
        <v>0</v>
      </c>
      <c r="D1483" s="514">
        <v>0</v>
      </c>
      <c r="E1483" s="514">
        <v>0</v>
      </c>
      <c r="F1483" s="514">
        <v>0</v>
      </c>
      <c r="G1483" s="514">
        <v>0</v>
      </c>
      <c r="H1483" s="514">
        <v>0</v>
      </c>
      <c r="I1483" s="514">
        <v>170000</v>
      </c>
      <c r="J1483" s="514">
        <v>410000</v>
      </c>
      <c r="K1483" s="514">
        <v>410000</v>
      </c>
      <c r="L1483" s="514">
        <v>410000</v>
      </c>
      <c r="M1483" s="514">
        <v>410000</v>
      </c>
      <c r="N1483" s="514">
        <v>390000</v>
      </c>
      <c r="O1483" s="499"/>
      <c r="P1483" s="499"/>
      <c r="Q1483" s="499"/>
    </row>
    <row r="1484" spans="1:17" ht="14.4" x14ac:dyDescent="0.3">
      <c r="A1484" s="502">
        <v>4560190</v>
      </c>
      <c r="B1484" s="503" t="s">
        <v>661</v>
      </c>
      <c r="C1484" s="514">
        <v>8333.34</v>
      </c>
      <c r="D1484" s="514">
        <v>8333.34</v>
      </c>
      <c r="E1484" s="514">
        <v>8333.34</v>
      </c>
      <c r="F1484" s="514">
        <v>8333.34</v>
      </c>
      <c r="G1484" s="514">
        <v>8333.33</v>
      </c>
      <c r="H1484" s="514">
        <v>8333.33</v>
      </c>
      <c r="I1484" s="514">
        <v>8333.33</v>
      </c>
      <c r="J1484" s="514">
        <v>8333.33</v>
      </c>
      <c r="K1484" s="514">
        <v>8333.33</v>
      </c>
      <c r="L1484" s="514">
        <v>8333.33</v>
      </c>
      <c r="M1484" s="514">
        <v>8333.33</v>
      </c>
      <c r="N1484" s="514">
        <v>8333.33</v>
      </c>
      <c r="O1484" s="499"/>
      <c r="P1484" s="499"/>
      <c r="Q1484" s="499"/>
    </row>
    <row r="1485" spans="1:17" ht="14.4" x14ac:dyDescent="0.3">
      <c r="A1485" s="502">
        <v>4560191</v>
      </c>
      <c r="B1485" s="503" t="s">
        <v>3116</v>
      </c>
      <c r="C1485" s="514">
        <v>0</v>
      </c>
      <c r="D1485" s="514">
        <v>0</v>
      </c>
      <c r="E1485" s="514">
        <v>0</v>
      </c>
      <c r="F1485" s="514">
        <v>0</v>
      </c>
      <c r="G1485" s="514">
        <v>0</v>
      </c>
      <c r="H1485" s="514">
        <v>0</v>
      </c>
      <c r="I1485" s="514">
        <v>0</v>
      </c>
      <c r="J1485" s="514">
        <v>0</v>
      </c>
      <c r="K1485" s="514">
        <v>0</v>
      </c>
      <c r="L1485" s="514">
        <v>0</v>
      </c>
      <c r="M1485" s="514">
        <v>0</v>
      </c>
      <c r="N1485" s="514">
        <v>0</v>
      </c>
      <c r="O1485" s="499"/>
      <c r="P1485" s="499"/>
      <c r="Q1485" s="499"/>
    </row>
    <row r="1486" spans="1:17" ht="14.4" x14ac:dyDescent="0.3">
      <c r="A1486" s="502">
        <v>4560200</v>
      </c>
      <c r="B1486" s="503" t="s">
        <v>663</v>
      </c>
      <c r="C1486" s="514">
        <v>697996.56</v>
      </c>
      <c r="D1486" s="514">
        <v>697996.56</v>
      </c>
      <c r="E1486" s="514">
        <v>697996.56</v>
      </c>
      <c r="F1486" s="514">
        <v>697996.56</v>
      </c>
      <c r="G1486" s="514">
        <v>697996.56</v>
      </c>
      <c r="H1486" s="514">
        <v>662429.25</v>
      </c>
      <c r="I1486" s="514">
        <v>662429.25</v>
      </c>
      <c r="J1486" s="514">
        <v>662429.25</v>
      </c>
      <c r="K1486" s="514">
        <v>662429.25</v>
      </c>
      <c r="L1486" s="514">
        <v>697996.56</v>
      </c>
      <c r="M1486" s="514">
        <v>697996.56</v>
      </c>
      <c r="N1486" s="514">
        <v>697996.56</v>
      </c>
      <c r="O1486" s="499"/>
      <c r="P1486" s="499"/>
      <c r="Q1486" s="499"/>
    </row>
    <row r="1487" spans="1:17" ht="14.4" x14ac:dyDescent="0.3">
      <c r="A1487" s="502">
        <v>4560210</v>
      </c>
      <c r="B1487" s="503" t="s">
        <v>665</v>
      </c>
      <c r="C1487" s="514">
        <v>17648.39</v>
      </c>
      <c r="D1487" s="514">
        <v>17648.39</v>
      </c>
      <c r="E1487" s="514">
        <v>17648.39</v>
      </c>
      <c r="F1487" s="514">
        <v>17648.39</v>
      </c>
      <c r="G1487" s="514">
        <v>17648.39</v>
      </c>
      <c r="H1487" s="514">
        <v>17038.5</v>
      </c>
      <c r="I1487" s="514">
        <v>17038.5</v>
      </c>
      <c r="J1487" s="514">
        <v>17038.5</v>
      </c>
      <c r="K1487" s="514">
        <v>17038.5</v>
      </c>
      <c r="L1487" s="514">
        <v>17648.39</v>
      </c>
      <c r="M1487" s="514">
        <v>17648.39</v>
      </c>
      <c r="N1487" s="514">
        <v>17648.39</v>
      </c>
      <c r="O1487" s="499"/>
      <c r="P1487" s="499"/>
      <c r="Q1487" s="499"/>
    </row>
    <row r="1488" spans="1:17" ht="14.4" x14ac:dyDescent="0.3">
      <c r="A1488" s="502">
        <v>4560220</v>
      </c>
      <c r="B1488" s="503" t="s">
        <v>3117</v>
      </c>
      <c r="C1488" s="514">
        <v>0</v>
      </c>
      <c r="D1488" s="514">
        <v>0</v>
      </c>
      <c r="E1488" s="514">
        <v>0</v>
      </c>
      <c r="F1488" s="514">
        <v>0</v>
      </c>
      <c r="G1488" s="514">
        <v>0</v>
      </c>
      <c r="H1488" s="514">
        <v>0</v>
      </c>
      <c r="I1488" s="514">
        <v>0</v>
      </c>
      <c r="J1488" s="514">
        <v>0</v>
      </c>
      <c r="K1488" s="514">
        <v>0</v>
      </c>
      <c r="L1488" s="514">
        <v>0</v>
      </c>
      <c r="M1488" s="514">
        <v>0</v>
      </c>
      <c r="N1488" s="514">
        <v>0</v>
      </c>
      <c r="O1488" s="499"/>
      <c r="P1488" s="499"/>
      <c r="Q1488" s="499"/>
    </row>
    <row r="1489" spans="1:17" ht="14.4" x14ac:dyDescent="0.3">
      <c r="A1489" s="502">
        <v>4560230</v>
      </c>
      <c r="B1489" s="503" t="s">
        <v>667</v>
      </c>
      <c r="C1489" s="514">
        <v>0</v>
      </c>
      <c r="D1489" s="514">
        <v>0</v>
      </c>
      <c r="E1489" s="514">
        <v>0</v>
      </c>
      <c r="F1489" s="514">
        <v>0</v>
      </c>
      <c r="G1489" s="514">
        <v>0</v>
      </c>
      <c r="H1489" s="514">
        <v>0</v>
      </c>
      <c r="I1489" s="514">
        <v>0</v>
      </c>
      <c r="J1489" s="514">
        <v>0</v>
      </c>
      <c r="K1489" s="514">
        <v>0</v>
      </c>
      <c r="L1489" s="514">
        <v>0</v>
      </c>
      <c r="M1489" s="514">
        <v>0</v>
      </c>
      <c r="N1489" s="514">
        <v>0</v>
      </c>
      <c r="O1489" s="499"/>
      <c r="P1489" s="499"/>
      <c r="Q1489" s="499"/>
    </row>
    <row r="1490" spans="1:17" ht="14.4" x14ac:dyDescent="0.3">
      <c r="A1490" s="502">
        <v>4560300</v>
      </c>
      <c r="B1490" s="503" t="s">
        <v>3118</v>
      </c>
      <c r="C1490" s="514">
        <v>0</v>
      </c>
      <c r="D1490" s="514">
        <v>0</v>
      </c>
      <c r="E1490" s="514">
        <v>0</v>
      </c>
      <c r="F1490" s="514">
        <v>0</v>
      </c>
      <c r="G1490" s="514">
        <v>0</v>
      </c>
      <c r="H1490" s="514">
        <v>0</v>
      </c>
      <c r="I1490" s="514">
        <v>0</v>
      </c>
      <c r="J1490" s="514">
        <v>0</v>
      </c>
      <c r="K1490" s="514">
        <v>0</v>
      </c>
      <c r="L1490" s="514">
        <v>0</v>
      </c>
      <c r="M1490" s="514">
        <v>0</v>
      </c>
      <c r="N1490" s="514">
        <v>0</v>
      </c>
      <c r="O1490" s="499"/>
      <c r="P1490" s="499"/>
      <c r="Q1490" s="499"/>
    </row>
    <row r="1491" spans="1:17" ht="14.4" x14ac:dyDescent="0.3">
      <c r="A1491" s="502">
        <v>4560301</v>
      </c>
      <c r="B1491" s="503" t="s">
        <v>3119</v>
      </c>
      <c r="C1491" s="514">
        <v>0</v>
      </c>
      <c r="D1491" s="514">
        <v>0</v>
      </c>
      <c r="E1491" s="514">
        <v>0</v>
      </c>
      <c r="F1491" s="514">
        <v>0</v>
      </c>
      <c r="G1491" s="514">
        <v>0</v>
      </c>
      <c r="H1491" s="514">
        <v>0</v>
      </c>
      <c r="I1491" s="514">
        <v>0</v>
      </c>
      <c r="J1491" s="514">
        <v>0</v>
      </c>
      <c r="K1491" s="514">
        <v>0</v>
      </c>
      <c r="L1491" s="514">
        <v>0</v>
      </c>
      <c r="M1491" s="514">
        <v>0</v>
      </c>
      <c r="N1491" s="514">
        <v>0</v>
      </c>
      <c r="O1491" s="499"/>
      <c r="P1491" s="499"/>
      <c r="Q1491" s="499"/>
    </row>
    <row r="1492" spans="1:17" ht="14.4" x14ac:dyDescent="0.3">
      <c r="A1492" s="502">
        <v>4560310</v>
      </c>
      <c r="B1492" s="503" t="s">
        <v>3120</v>
      </c>
      <c r="C1492" s="514">
        <v>0</v>
      </c>
      <c r="D1492" s="514">
        <v>0</v>
      </c>
      <c r="E1492" s="514">
        <v>0</v>
      </c>
      <c r="F1492" s="514">
        <v>0</v>
      </c>
      <c r="G1492" s="514">
        <v>0</v>
      </c>
      <c r="H1492" s="514">
        <v>0</v>
      </c>
      <c r="I1492" s="514">
        <v>0</v>
      </c>
      <c r="J1492" s="514">
        <v>0</v>
      </c>
      <c r="K1492" s="514">
        <v>0</v>
      </c>
      <c r="L1492" s="514">
        <v>0</v>
      </c>
      <c r="M1492" s="514">
        <v>0</v>
      </c>
      <c r="N1492" s="514">
        <v>0</v>
      </c>
      <c r="O1492" s="499"/>
      <c r="P1492" s="499"/>
      <c r="Q1492" s="499"/>
    </row>
    <row r="1493" spans="1:17" ht="14.4" x14ac:dyDescent="0.3">
      <c r="A1493" s="502">
        <v>4560401</v>
      </c>
      <c r="B1493" s="503" t="s">
        <v>669</v>
      </c>
      <c r="C1493" s="514">
        <v>0</v>
      </c>
      <c r="D1493" s="514">
        <v>0</v>
      </c>
      <c r="E1493" s="514">
        <v>0</v>
      </c>
      <c r="F1493" s="514">
        <v>0</v>
      </c>
      <c r="G1493" s="514">
        <v>0</v>
      </c>
      <c r="H1493" s="514">
        <v>0</v>
      </c>
      <c r="I1493" s="514">
        <v>0</v>
      </c>
      <c r="J1493" s="514">
        <v>0</v>
      </c>
      <c r="K1493" s="514">
        <v>0</v>
      </c>
      <c r="L1493" s="514">
        <v>0</v>
      </c>
      <c r="M1493" s="514">
        <v>0</v>
      </c>
      <c r="N1493" s="514">
        <v>0</v>
      </c>
      <c r="O1493" s="499"/>
      <c r="P1493" s="499"/>
      <c r="Q1493" s="499"/>
    </row>
    <row r="1494" spans="1:17" ht="14.4" x14ac:dyDescent="0.3">
      <c r="A1494" s="502">
        <v>4560402</v>
      </c>
      <c r="B1494" s="503" t="s">
        <v>3121</v>
      </c>
      <c r="C1494" s="514">
        <v>0</v>
      </c>
      <c r="D1494" s="514">
        <v>0</v>
      </c>
      <c r="E1494" s="514">
        <v>0</v>
      </c>
      <c r="F1494" s="514">
        <v>0</v>
      </c>
      <c r="G1494" s="514">
        <v>0</v>
      </c>
      <c r="H1494" s="514">
        <v>0</v>
      </c>
      <c r="I1494" s="514">
        <v>0</v>
      </c>
      <c r="J1494" s="514">
        <v>0</v>
      </c>
      <c r="K1494" s="514">
        <v>0</v>
      </c>
      <c r="L1494" s="514">
        <v>0</v>
      </c>
      <c r="M1494" s="514">
        <v>0</v>
      </c>
      <c r="N1494" s="514">
        <v>0</v>
      </c>
      <c r="O1494" s="499"/>
      <c r="P1494" s="499"/>
      <c r="Q1494" s="499"/>
    </row>
    <row r="1495" spans="1:17" ht="14.4" x14ac:dyDescent="0.3">
      <c r="A1495" s="502">
        <v>4560411</v>
      </c>
      <c r="B1495" s="503" t="s">
        <v>671</v>
      </c>
      <c r="C1495" s="514">
        <v>0</v>
      </c>
      <c r="D1495" s="514">
        <v>0</v>
      </c>
      <c r="E1495" s="514">
        <v>0</v>
      </c>
      <c r="F1495" s="514">
        <v>0</v>
      </c>
      <c r="G1495" s="514">
        <v>0</v>
      </c>
      <c r="H1495" s="514">
        <v>0</v>
      </c>
      <c r="I1495" s="514">
        <v>0</v>
      </c>
      <c r="J1495" s="514">
        <v>0</v>
      </c>
      <c r="K1495" s="514">
        <v>0</v>
      </c>
      <c r="L1495" s="514">
        <v>0</v>
      </c>
      <c r="M1495" s="514">
        <v>0</v>
      </c>
      <c r="N1495" s="514">
        <v>0</v>
      </c>
      <c r="O1495" s="499"/>
      <c r="P1495" s="499"/>
      <c r="Q1495" s="499"/>
    </row>
    <row r="1496" spans="1:17" ht="14.4" x14ac:dyDescent="0.3">
      <c r="A1496" s="502">
        <v>4560412</v>
      </c>
      <c r="B1496" s="503" t="s">
        <v>3122</v>
      </c>
      <c r="C1496" s="514">
        <v>0</v>
      </c>
      <c r="D1496" s="514">
        <v>0</v>
      </c>
      <c r="E1496" s="514">
        <v>0</v>
      </c>
      <c r="F1496" s="514">
        <v>0</v>
      </c>
      <c r="G1496" s="514">
        <v>0</v>
      </c>
      <c r="H1496" s="514">
        <v>0</v>
      </c>
      <c r="I1496" s="514">
        <v>0</v>
      </c>
      <c r="J1496" s="514">
        <v>0</v>
      </c>
      <c r="K1496" s="514">
        <v>0</v>
      </c>
      <c r="L1496" s="514">
        <v>0</v>
      </c>
      <c r="M1496" s="514">
        <v>0</v>
      </c>
      <c r="N1496" s="514">
        <v>0</v>
      </c>
      <c r="O1496" s="499"/>
      <c r="P1496" s="499"/>
      <c r="Q1496" s="499"/>
    </row>
    <row r="1497" spans="1:17" ht="14.4" x14ac:dyDescent="0.3">
      <c r="A1497" s="502">
        <v>4560501</v>
      </c>
      <c r="B1497" s="503" t="s">
        <v>3123</v>
      </c>
      <c r="C1497" s="514">
        <v>0</v>
      </c>
      <c r="D1497" s="514">
        <v>0</v>
      </c>
      <c r="E1497" s="514">
        <v>0</v>
      </c>
      <c r="F1497" s="514">
        <v>0</v>
      </c>
      <c r="G1497" s="514">
        <v>0</v>
      </c>
      <c r="H1497" s="514">
        <v>0</v>
      </c>
      <c r="I1497" s="514">
        <v>0</v>
      </c>
      <c r="J1497" s="514">
        <v>0</v>
      </c>
      <c r="K1497" s="514">
        <v>0</v>
      </c>
      <c r="L1497" s="514">
        <v>0</v>
      </c>
      <c r="M1497" s="514">
        <v>0</v>
      </c>
      <c r="N1497" s="514">
        <v>0</v>
      </c>
      <c r="O1497" s="499"/>
      <c r="P1497" s="499"/>
      <c r="Q1497" s="499"/>
    </row>
    <row r="1498" spans="1:17" ht="14.4" x14ac:dyDescent="0.3">
      <c r="A1498" s="502">
        <v>4560502</v>
      </c>
      <c r="B1498" s="503" t="s">
        <v>3124</v>
      </c>
      <c r="C1498" s="514">
        <v>0</v>
      </c>
      <c r="D1498" s="514">
        <v>0</v>
      </c>
      <c r="E1498" s="514">
        <v>0</v>
      </c>
      <c r="F1498" s="514">
        <v>0</v>
      </c>
      <c r="G1498" s="514">
        <v>0</v>
      </c>
      <c r="H1498" s="514">
        <v>0</v>
      </c>
      <c r="I1498" s="514">
        <v>0</v>
      </c>
      <c r="J1498" s="514">
        <v>0</v>
      </c>
      <c r="K1498" s="514">
        <v>0</v>
      </c>
      <c r="L1498" s="514">
        <v>0</v>
      </c>
      <c r="M1498" s="514">
        <v>0</v>
      </c>
      <c r="N1498" s="514">
        <v>0</v>
      </c>
      <c r="O1498" s="499"/>
      <c r="P1498" s="499"/>
      <c r="Q1498" s="499"/>
    </row>
    <row r="1499" spans="1:17" ht="14.4" x14ac:dyDescent="0.3">
      <c r="A1499" s="502">
        <v>4560511</v>
      </c>
      <c r="B1499" s="503" t="s">
        <v>3125</v>
      </c>
      <c r="C1499" s="514">
        <v>0</v>
      </c>
      <c r="D1499" s="514">
        <v>0</v>
      </c>
      <c r="E1499" s="514">
        <v>0</v>
      </c>
      <c r="F1499" s="514">
        <v>0</v>
      </c>
      <c r="G1499" s="514">
        <v>0</v>
      </c>
      <c r="H1499" s="514">
        <v>0</v>
      </c>
      <c r="I1499" s="514">
        <v>0</v>
      </c>
      <c r="J1499" s="514">
        <v>0</v>
      </c>
      <c r="K1499" s="514">
        <v>0</v>
      </c>
      <c r="L1499" s="514">
        <v>0</v>
      </c>
      <c r="M1499" s="514">
        <v>0</v>
      </c>
      <c r="N1499" s="514">
        <v>0</v>
      </c>
      <c r="O1499" s="499"/>
      <c r="P1499" s="499"/>
      <c r="Q1499" s="499"/>
    </row>
    <row r="1500" spans="1:17" ht="14.4" x14ac:dyDescent="0.3">
      <c r="A1500" s="502">
        <v>4560512</v>
      </c>
      <c r="B1500" s="503" t="s">
        <v>3126</v>
      </c>
      <c r="C1500" s="514">
        <v>0</v>
      </c>
      <c r="D1500" s="514">
        <v>0</v>
      </c>
      <c r="E1500" s="514">
        <v>0</v>
      </c>
      <c r="F1500" s="514">
        <v>0</v>
      </c>
      <c r="G1500" s="514">
        <v>0</v>
      </c>
      <c r="H1500" s="514">
        <v>0</v>
      </c>
      <c r="I1500" s="514">
        <v>0</v>
      </c>
      <c r="J1500" s="514">
        <v>0</v>
      </c>
      <c r="K1500" s="514">
        <v>0</v>
      </c>
      <c r="L1500" s="514">
        <v>0</v>
      </c>
      <c r="M1500" s="514">
        <v>0</v>
      </c>
      <c r="N1500" s="514">
        <v>0</v>
      </c>
      <c r="O1500" s="499"/>
      <c r="P1500" s="499"/>
      <c r="Q1500" s="499"/>
    </row>
    <row r="1501" spans="1:17" ht="14.4" x14ac:dyDescent="0.3">
      <c r="A1501" s="502">
        <v>4560610</v>
      </c>
      <c r="B1501" s="503" t="s">
        <v>3127</v>
      </c>
      <c r="C1501" s="514">
        <v>0</v>
      </c>
      <c r="D1501" s="514">
        <v>0</v>
      </c>
      <c r="E1501" s="514">
        <v>0</v>
      </c>
      <c r="F1501" s="514">
        <v>0</v>
      </c>
      <c r="G1501" s="514">
        <v>0</v>
      </c>
      <c r="H1501" s="514">
        <v>0</v>
      </c>
      <c r="I1501" s="514">
        <v>0</v>
      </c>
      <c r="J1501" s="514">
        <v>0</v>
      </c>
      <c r="K1501" s="514">
        <v>0</v>
      </c>
      <c r="L1501" s="514">
        <v>0</v>
      </c>
      <c r="M1501" s="514">
        <v>0</v>
      </c>
      <c r="N1501" s="514">
        <v>0</v>
      </c>
      <c r="O1501" s="499"/>
      <c r="P1501" s="499"/>
      <c r="Q1501" s="499"/>
    </row>
    <row r="1502" spans="1:17" ht="14.4" x14ac:dyDescent="0.3">
      <c r="A1502" s="502">
        <v>4560620</v>
      </c>
      <c r="B1502" s="503" t="s">
        <v>3128</v>
      </c>
      <c r="C1502" s="514">
        <v>0</v>
      </c>
      <c r="D1502" s="514">
        <v>0</v>
      </c>
      <c r="E1502" s="514">
        <v>0</v>
      </c>
      <c r="F1502" s="514">
        <v>0</v>
      </c>
      <c r="G1502" s="514">
        <v>0</v>
      </c>
      <c r="H1502" s="514">
        <v>0</v>
      </c>
      <c r="I1502" s="514">
        <v>0</v>
      </c>
      <c r="J1502" s="514">
        <v>0</v>
      </c>
      <c r="K1502" s="514">
        <v>0</v>
      </c>
      <c r="L1502" s="514">
        <v>0</v>
      </c>
      <c r="M1502" s="514">
        <v>0</v>
      </c>
      <c r="N1502" s="514">
        <v>0</v>
      </c>
      <c r="O1502" s="499"/>
      <c r="P1502" s="499"/>
      <c r="Q1502" s="499"/>
    </row>
    <row r="1503" spans="1:17" ht="14.4" x14ac:dyDescent="0.3">
      <c r="A1503" s="502">
        <v>4560650</v>
      </c>
      <c r="B1503" s="503" t="s">
        <v>3129</v>
      </c>
      <c r="C1503" s="514">
        <v>0</v>
      </c>
      <c r="D1503" s="514">
        <v>0</v>
      </c>
      <c r="E1503" s="514">
        <v>0</v>
      </c>
      <c r="F1503" s="514">
        <v>0</v>
      </c>
      <c r="G1503" s="514">
        <v>0</v>
      </c>
      <c r="H1503" s="514">
        <v>0</v>
      </c>
      <c r="I1503" s="514">
        <v>0</v>
      </c>
      <c r="J1503" s="514">
        <v>0</v>
      </c>
      <c r="K1503" s="514">
        <v>0</v>
      </c>
      <c r="L1503" s="514">
        <v>0</v>
      </c>
      <c r="M1503" s="514">
        <v>0</v>
      </c>
      <c r="N1503" s="514">
        <v>0</v>
      </c>
      <c r="O1503" s="499"/>
      <c r="P1503" s="499"/>
      <c r="Q1503" s="499"/>
    </row>
    <row r="1504" spans="1:17" ht="14.4" x14ac:dyDescent="0.3">
      <c r="A1504" s="502">
        <v>4560660</v>
      </c>
      <c r="B1504" s="503" t="s">
        <v>673</v>
      </c>
      <c r="C1504" s="514">
        <v>38542.51</v>
      </c>
      <c r="D1504" s="514">
        <v>28976.34</v>
      </c>
      <c r="E1504" s="514">
        <v>30265.41</v>
      </c>
      <c r="F1504" s="514">
        <v>25000</v>
      </c>
      <c r="G1504" s="514">
        <v>33326.86</v>
      </c>
      <c r="H1504" s="514">
        <v>30571.65</v>
      </c>
      <c r="I1504" s="514">
        <v>26630.73</v>
      </c>
      <c r="J1504" s="514">
        <v>30545.82</v>
      </c>
      <c r="K1504" s="514">
        <v>28843.31</v>
      </c>
      <c r="L1504" s="514">
        <v>33238.81</v>
      </c>
      <c r="M1504" s="514">
        <v>60504.7</v>
      </c>
      <c r="N1504" s="514">
        <v>120427.26</v>
      </c>
      <c r="O1504" s="499"/>
      <c r="P1504" s="499"/>
      <c r="Q1504" s="499"/>
    </row>
    <row r="1505" spans="1:17" ht="14.4" x14ac:dyDescent="0.3">
      <c r="A1505" s="502">
        <v>4560661</v>
      </c>
      <c r="B1505" s="503" t="s">
        <v>3130</v>
      </c>
      <c r="C1505" s="514">
        <v>0</v>
      </c>
      <c r="D1505" s="514">
        <v>0</v>
      </c>
      <c r="E1505" s="514">
        <v>0</v>
      </c>
      <c r="F1505" s="514">
        <v>0</v>
      </c>
      <c r="G1505" s="514">
        <v>0</v>
      </c>
      <c r="H1505" s="514">
        <v>0</v>
      </c>
      <c r="I1505" s="514">
        <v>0</v>
      </c>
      <c r="J1505" s="514">
        <v>0</v>
      </c>
      <c r="K1505" s="514">
        <v>0</v>
      </c>
      <c r="L1505" s="514">
        <v>0</v>
      </c>
      <c r="M1505" s="514">
        <v>0</v>
      </c>
      <c r="N1505" s="514">
        <v>0</v>
      </c>
      <c r="O1505" s="499"/>
      <c r="P1505" s="499"/>
      <c r="Q1505" s="499"/>
    </row>
    <row r="1506" spans="1:17" ht="14.4" x14ac:dyDescent="0.3">
      <c r="A1506" s="502">
        <v>4560690</v>
      </c>
      <c r="B1506" s="503" t="s">
        <v>3131</v>
      </c>
      <c r="C1506" s="514">
        <v>0</v>
      </c>
      <c r="D1506" s="514">
        <v>0</v>
      </c>
      <c r="E1506" s="514">
        <v>0</v>
      </c>
      <c r="F1506" s="514">
        <v>0</v>
      </c>
      <c r="G1506" s="514">
        <v>0</v>
      </c>
      <c r="H1506" s="514">
        <v>0</v>
      </c>
      <c r="I1506" s="514">
        <v>0</v>
      </c>
      <c r="J1506" s="514">
        <v>0</v>
      </c>
      <c r="K1506" s="514">
        <v>0</v>
      </c>
      <c r="L1506" s="514">
        <v>0</v>
      </c>
      <c r="M1506" s="514">
        <v>0</v>
      </c>
      <c r="N1506" s="514">
        <v>0</v>
      </c>
      <c r="O1506" s="499"/>
      <c r="P1506" s="499"/>
      <c r="Q1506" s="499"/>
    </row>
    <row r="1507" spans="1:17" ht="14.4" x14ac:dyDescent="0.3">
      <c r="A1507" s="502">
        <v>4560800</v>
      </c>
      <c r="B1507" s="503" t="s">
        <v>675</v>
      </c>
      <c r="C1507" s="514">
        <v>500</v>
      </c>
      <c r="D1507" s="514">
        <v>0</v>
      </c>
      <c r="E1507" s="514">
        <v>1250</v>
      </c>
      <c r="F1507" s="514">
        <v>500</v>
      </c>
      <c r="G1507" s="514">
        <v>0</v>
      </c>
      <c r="H1507" s="514">
        <v>0</v>
      </c>
      <c r="I1507" s="514">
        <v>1000</v>
      </c>
      <c r="J1507" s="514">
        <v>750</v>
      </c>
      <c r="K1507" s="514">
        <v>750</v>
      </c>
      <c r="L1507" s="514">
        <v>750</v>
      </c>
      <c r="M1507" s="514">
        <v>750</v>
      </c>
      <c r="N1507" s="514">
        <v>750</v>
      </c>
      <c r="O1507" s="499"/>
      <c r="P1507" s="499"/>
      <c r="Q1507" s="499"/>
    </row>
    <row r="1508" spans="1:17" ht="14.4" x14ac:dyDescent="0.3">
      <c r="A1508" s="502">
        <v>4560900</v>
      </c>
      <c r="B1508" s="503" t="s">
        <v>587</v>
      </c>
      <c r="C1508" s="514">
        <v>2322339</v>
      </c>
      <c r="D1508" s="514">
        <v>5081373</v>
      </c>
      <c r="E1508" s="514">
        <v>4701866</v>
      </c>
      <c r="F1508" s="514">
        <v>4424982</v>
      </c>
      <c r="G1508" s="514">
        <v>10390499</v>
      </c>
      <c r="H1508" s="514">
        <v>3589870</v>
      </c>
      <c r="I1508" s="514">
        <v>2466789</v>
      </c>
      <c r="J1508" s="514">
        <v>4638992</v>
      </c>
      <c r="K1508" s="514">
        <v>9080027</v>
      </c>
      <c r="L1508" s="514">
        <v>4990371</v>
      </c>
      <c r="M1508" s="514">
        <v>9193934</v>
      </c>
      <c r="N1508" s="514">
        <v>455046</v>
      </c>
      <c r="O1508" s="499"/>
      <c r="P1508" s="499"/>
      <c r="Q1508" s="499"/>
    </row>
    <row r="1509" spans="1:17" ht="14.4" x14ac:dyDescent="0.3">
      <c r="A1509" s="502">
        <v>4571700</v>
      </c>
      <c r="B1509" s="503" t="s">
        <v>3132</v>
      </c>
      <c r="C1509" s="514">
        <v>0</v>
      </c>
      <c r="D1509" s="514">
        <v>0</v>
      </c>
      <c r="E1509" s="514">
        <v>0</v>
      </c>
      <c r="F1509" s="514">
        <v>0</v>
      </c>
      <c r="G1509" s="514">
        <v>0</v>
      </c>
      <c r="H1509" s="514">
        <v>0</v>
      </c>
      <c r="I1509" s="514">
        <v>0</v>
      </c>
      <c r="J1509" s="514">
        <v>0</v>
      </c>
      <c r="K1509" s="514">
        <v>0</v>
      </c>
      <c r="L1509" s="514">
        <v>0</v>
      </c>
      <c r="M1509" s="514">
        <v>0</v>
      </c>
      <c r="N1509" s="514">
        <v>0</v>
      </c>
      <c r="O1509" s="499"/>
      <c r="P1509" s="499"/>
      <c r="Q1509" s="499"/>
    </row>
    <row r="1510" spans="1:17" ht="14.4" x14ac:dyDescent="0.3">
      <c r="A1510" s="502">
        <v>4572700</v>
      </c>
      <c r="B1510" s="503" t="s">
        <v>3133</v>
      </c>
      <c r="C1510" s="514">
        <v>0</v>
      </c>
      <c r="D1510" s="514">
        <v>0</v>
      </c>
      <c r="E1510" s="514">
        <v>0</v>
      </c>
      <c r="F1510" s="514">
        <v>0</v>
      </c>
      <c r="G1510" s="514">
        <v>0</v>
      </c>
      <c r="H1510" s="514">
        <v>0</v>
      </c>
      <c r="I1510" s="514">
        <v>0</v>
      </c>
      <c r="J1510" s="514">
        <v>0</v>
      </c>
      <c r="K1510" s="514">
        <v>0</v>
      </c>
      <c r="L1510" s="514">
        <v>0</v>
      </c>
      <c r="M1510" s="514">
        <v>0</v>
      </c>
      <c r="N1510" s="514">
        <v>0</v>
      </c>
      <c r="O1510" s="499"/>
      <c r="P1510" s="499"/>
      <c r="Q1510" s="499"/>
    </row>
    <row r="1511" spans="1:17" ht="14.4" x14ac:dyDescent="0.3">
      <c r="A1511" s="502">
        <v>4581000</v>
      </c>
      <c r="B1511" s="503" t="s">
        <v>3134</v>
      </c>
      <c r="C1511" s="514">
        <v>0</v>
      </c>
      <c r="D1511" s="514">
        <v>0</v>
      </c>
      <c r="E1511" s="514">
        <v>0</v>
      </c>
      <c r="F1511" s="514">
        <v>0</v>
      </c>
      <c r="G1511" s="514">
        <v>0</v>
      </c>
      <c r="H1511" s="514">
        <v>0</v>
      </c>
      <c r="I1511" s="514">
        <v>0</v>
      </c>
      <c r="J1511" s="514">
        <v>0</v>
      </c>
      <c r="K1511" s="514">
        <v>0</v>
      </c>
      <c r="L1511" s="514">
        <v>0</v>
      </c>
      <c r="M1511" s="514">
        <v>0</v>
      </c>
      <c r="N1511" s="514">
        <v>0</v>
      </c>
      <c r="O1511" s="499"/>
      <c r="P1511" s="499"/>
      <c r="Q1511" s="499"/>
    </row>
    <row r="1512" spans="1:17" ht="14.4" x14ac:dyDescent="0.3">
      <c r="A1512" s="502">
        <v>4600010</v>
      </c>
      <c r="B1512" s="503" t="s">
        <v>3135</v>
      </c>
      <c r="C1512" s="514">
        <v>0</v>
      </c>
      <c r="D1512" s="514">
        <v>0</v>
      </c>
      <c r="E1512" s="514">
        <v>0</v>
      </c>
      <c r="F1512" s="514">
        <v>0</v>
      </c>
      <c r="G1512" s="514">
        <v>0</v>
      </c>
      <c r="H1512" s="514">
        <v>0</v>
      </c>
      <c r="I1512" s="514">
        <v>0</v>
      </c>
      <c r="J1512" s="514">
        <v>0</v>
      </c>
      <c r="K1512" s="514">
        <v>0</v>
      </c>
      <c r="L1512" s="514">
        <v>0</v>
      </c>
      <c r="M1512" s="514">
        <v>0</v>
      </c>
      <c r="N1512" s="514">
        <v>0</v>
      </c>
      <c r="O1512" s="499"/>
      <c r="P1512" s="499"/>
      <c r="Q1512" s="499"/>
    </row>
    <row r="1513" spans="1:17" ht="14.4" x14ac:dyDescent="0.3">
      <c r="A1513" s="502">
        <v>4600020</v>
      </c>
      <c r="B1513" s="503" t="s">
        <v>3136</v>
      </c>
      <c r="C1513" s="514">
        <v>0</v>
      </c>
      <c r="D1513" s="514">
        <v>0</v>
      </c>
      <c r="E1513" s="514">
        <v>0</v>
      </c>
      <c r="F1513" s="514">
        <v>0</v>
      </c>
      <c r="G1513" s="514">
        <v>0</v>
      </c>
      <c r="H1513" s="514">
        <v>0</v>
      </c>
      <c r="I1513" s="514">
        <v>0</v>
      </c>
      <c r="J1513" s="514">
        <v>0</v>
      </c>
      <c r="K1513" s="514">
        <v>0</v>
      </c>
      <c r="L1513" s="514">
        <v>0</v>
      </c>
      <c r="M1513" s="514">
        <v>0</v>
      </c>
      <c r="N1513" s="514">
        <v>0</v>
      </c>
      <c r="O1513" s="499"/>
      <c r="P1513" s="499"/>
      <c r="Q1513" s="499"/>
    </row>
    <row r="1514" spans="1:17" ht="14.4" x14ac:dyDescent="0.3">
      <c r="A1514" s="502">
        <v>4600030</v>
      </c>
      <c r="B1514" s="503" t="s">
        <v>3137</v>
      </c>
      <c r="C1514" s="514">
        <v>0</v>
      </c>
      <c r="D1514" s="514">
        <v>0</v>
      </c>
      <c r="E1514" s="514">
        <v>0</v>
      </c>
      <c r="F1514" s="514">
        <v>0</v>
      </c>
      <c r="G1514" s="514">
        <v>0</v>
      </c>
      <c r="H1514" s="514">
        <v>0</v>
      </c>
      <c r="I1514" s="514">
        <v>0</v>
      </c>
      <c r="J1514" s="514">
        <v>0</v>
      </c>
      <c r="K1514" s="514">
        <v>0</v>
      </c>
      <c r="L1514" s="514">
        <v>0</v>
      </c>
      <c r="M1514" s="514">
        <v>0</v>
      </c>
      <c r="N1514" s="514">
        <v>0</v>
      </c>
      <c r="O1514" s="499"/>
      <c r="P1514" s="499"/>
      <c r="Q1514" s="499"/>
    </row>
    <row r="1515" spans="1:17" ht="14.4" x14ac:dyDescent="0.3">
      <c r="A1515" s="502">
        <v>4600040</v>
      </c>
      <c r="B1515" s="503" t="s">
        <v>3138</v>
      </c>
      <c r="C1515" s="514">
        <v>0</v>
      </c>
      <c r="D1515" s="514">
        <v>0</v>
      </c>
      <c r="E1515" s="514">
        <v>0</v>
      </c>
      <c r="F1515" s="514">
        <v>0</v>
      </c>
      <c r="G1515" s="514">
        <v>0</v>
      </c>
      <c r="H1515" s="514">
        <v>0</v>
      </c>
      <c r="I1515" s="514">
        <v>0</v>
      </c>
      <c r="J1515" s="514">
        <v>0</v>
      </c>
      <c r="K1515" s="514">
        <v>0</v>
      </c>
      <c r="L1515" s="514">
        <v>0</v>
      </c>
      <c r="M1515" s="514">
        <v>0</v>
      </c>
      <c r="N1515" s="514">
        <v>0</v>
      </c>
      <c r="O1515" s="499"/>
      <c r="P1515" s="499"/>
      <c r="Q1515" s="499"/>
    </row>
    <row r="1516" spans="1:17" ht="14.4" x14ac:dyDescent="0.3">
      <c r="A1516" s="502">
        <v>4600050</v>
      </c>
      <c r="B1516" s="503" t="s">
        <v>3139</v>
      </c>
      <c r="C1516" s="514">
        <v>0</v>
      </c>
      <c r="D1516" s="514">
        <v>0</v>
      </c>
      <c r="E1516" s="514">
        <v>0</v>
      </c>
      <c r="F1516" s="514">
        <v>0</v>
      </c>
      <c r="G1516" s="514">
        <v>0</v>
      </c>
      <c r="H1516" s="514">
        <v>0</v>
      </c>
      <c r="I1516" s="514">
        <v>0</v>
      </c>
      <c r="J1516" s="514">
        <v>0</v>
      </c>
      <c r="K1516" s="514">
        <v>0</v>
      </c>
      <c r="L1516" s="514">
        <v>0</v>
      </c>
      <c r="M1516" s="514">
        <v>0</v>
      </c>
      <c r="N1516" s="514">
        <v>0</v>
      </c>
      <c r="O1516" s="499"/>
      <c r="P1516" s="499"/>
      <c r="Q1516" s="499"/>
    </row>
    <row r="1517" spans="1:17" ht="14.4" x14ac:dyDescent="0.3">
      <c r="A1517" s="502">
        <v>4600060</v>
      </c>
      <c r="B1517" s="503" t="s">
        <v>3140</v>
      </c>
      <c r="C1517" s="514">
        <v>0</v>
      </c>
      <c r="D1517" s="514">
        <v>0</v>
      </c>
      <c r="E1517" s="514">
        <v>0</v>
      </c>
      <c r="F1517" s="514">
        <v>0</v>
      </c>
      <c r="G1517" s="514">
        <v>0</v>
      </c>
      <c r="H1517" s="514">
        <v>0</v>
      </c>
      <c r="I1517" s="514">
        <v>0</v>
      </c>
      <c r="J1517" s="514">
        <v>0</v>
      </c>
      <c r="K1517" s="514">
        <v>0</v>
      </c>
      <c r="L1517" s="514">
        <v>0</v>
      </c>
      <c r="M1517" s="514">
        <v>0</v>
      </c>
      <c r="N1517" s="514">
        <v>0</v>
      </c>
      <c r="O1517" s="499"/>
      <c r="P1517" s="499"/>
      <c r="Q1517" s="499"/>
    </row>
    <row r="1518" spans="1:17" ht="14.4" x14ac:dyDescent="0.3">
      <c r="A1518" s="502">
        <v>4600070</v>
      </c>
      <c r="B1518" s="503" t="s">
        <v>3141</v>
      </c>
      <c r="C1518" s="514">
        <v>0</v>
      </c>
      <c r="D1518" s="514">
        <v>0</v>
      </c>
      <c r="E1518" s="514">
        <v>0</v>
      </c>
      <c r="F1518" s="514">
        <v>0</v>
      </c>
      <c r="G1518" s="514">
        <v>0</v>
      </c>
      <c r="H1518" s="514">
        <v>0</v>
      </c>
      <c r="I1518" s="514">
        <v>0</v>
      </c>
      <c r="J1518" s="514">
        <v>0</v>
      </c>
      <c r="K1518" s="514">
        <v>0</v>
      </c>
      <c r="L1518" s="514">
        <v>0</v>
      </c>
      <c r="M1518" s="514">
        <v>0</v>
      </c>
      <c r="N1518" s="514">
        <v>0</v>
      </c>
      <c r="O1518" s="499"/>
      <c r="P1518" s="499"/>
      <c r="Q1518" s="499"/>
    </row>
    <row r="1519" spans="1:17" ht="14.4" x14ac:dyDescent="0.3">
      <c r="A1519" s="502">
        <v>4600080</v>
      </c>
      <c r="B1519" s="503" t="s">
        <v>3142</v>
      </c>
      <c r="C1519" s="514">
        <v>0</v>
      </c>
      <c r="D1519" s="514">
        <v>0</v>
      </c>
      <c r="E1519" s="514">
        <v>0</v>
      </c>
      <c r="F1519" s="514">
        <v>0</v>
      </c>
      <c r="G1519" s="514">
        <v>0</v>
      </c>
      <c r="H1519" s="514">
        <v>0</v>
      </c>
      <c r="I1519" s="514">
        <v>0</v>
      </c>
      <c r="J1519" s="514">
        <v>0</v>
      </c>
      <c r="K1519" s="514">
        <v>0</v>
      </c>
      <c r="L1519" s="514">
        <v>0</v>
      </c>
      <c r="M1519" s="514">
        <v>0</v>
      </c>
      <c r="N1519" s="514">
        <v>0</v>
      </c>
      <c r="O1519" s="499"/>
      <c r="P1519" s="499"/>
      <c r="Q1519" s="499"/>
    </row>
    <row r="1520" spans="1:17" ht="14.4" x14ac:dyDescent="0.3">
      <c r="A1520" s="502">
        <v>4600090</v>
      </c>
      <c r="B1520" s="503" t="s">
        <v>3143</v>
      </c>
      <c r="C1520" s="514">
        <v>0</v>
      </c>
      <c r="D1520" s="514">
        <v>0</v>
      </c>
      <c r="E1520" s="514">
        <v>0</v>
      </c>
      <c r="F1520" s="514">
        <v>0</v>
      </c>
      <c r="G1520" s="514">
        <v>0</v>
      </c>
      <c r="H1520" s="514">
        <v>0</v>
      </c>
      <c r="I1520" s="514">
        <v>0</v>
      </c>
      <c r="J1520" s="514">
        <v>0</v>
      </c>
      <c r="K1520" s="514">
        <v>0</v>
      </c>
      <c r="L1520" s="514">
        <v>0</v>
      </c>
      <c r="M1520" s="514">
        <v>0</v>
      </c>
      <c r="N1520" s="514">
        <v>0</v>
      </c>
      <c r="O1520" s="499"/>
      <c r="P1520" s="499"/>
      <c r="Q1520" s="499"/>
    </row>
    <row r="1521" spans="1:17" ht="14.4" x14ac:dyDescent="0.3">
      <c r="A1521" s="502">
        <v>4600100</v>
      </c>
      <c r="B1521" s="503" t="s">
        <v>3144</v>
      </c>
      <c r="C1521" s="514">
        <v>0</v>
      </c>
      <c r="D1521" s="514">
        <v>0</v>
      </c>
      <c r="E1521" s="514">
        <v>0</v>
      </c>
      <c r="F1521" s="514">
        <v>0</v>
      </c>
      <c r="G1521" s="514">
        <v>0</v>
      </c>
      <c r="H1521" s="514">
        <v>0</v>
      </c>
      <c r="I1521" s="514">
        <v>0</v>
      </c>
      <c r="J1521" s="514">
        <v>0</v>
      </c>
      <c r="K1521" s="514">
        <v>0</v>
      </c>
      <c r="L1521" s="514">
        <v>0</v>
      </c>
      <c r="M1521" s="514">
        <v>0</v>
      </c>
      <c r="N1521" s="514">
        <v>0</v>
      </c>
      <c r="O1521" s="499"/>
      <c r="P1521" s="499"/>
      <c r="Q1521" s="499"/>
    </row>
    <row r="1522" spans="1:17" ht="14.4" x14ac:dyDescent="0.3">
      <c r="A1522" s="502">
        <v>4600110</v>
      </c>
      <c r="B1522" s="503" t="s">
        <v>3145</v>
      </c>
      <c r="C1522" s="514">
        <v>0</v>
      </c>
      <c r="D1522" s="514">
        <v>0</v>
      </c>
      <c r="E1522" s="514">
        <v>0</v>
      </c>
      <c r="F1522" s="514">
        <v>0</v>
      </c>
      <c r="G1522" s="514">
        <v>0</v>
      </c>
      <c r="H1522" s="514">
        <v>0</v>
      </c>
      <c r="I1522" s="514">
        <v>0</v>
      </c>
      <c r="J1522" s="514">
        <v>0</v>
      </c>
      <c r="K1522" s="514">
        <v>0</v>
      </c>
      <c r="L1522" s="514">
        <v>0</v>
      </c>
      <c r="M1522" s="514">
        <v>0</v>
      </c>
      <c r="N1522" s="514">
        <v>0</v>
      </c>
      <c r="O1522" s="499"/>
      <c r="P1522" s="499"/>
      <c r="Q1522" s="499"/>
    </row>
    <row r="1523" spans="1:17" ht="14.4" x14ac:dyDescent="0.3">
      <c r="A1523" s="502">
        <v>4600120</v>
      </c>
      <c r="B1523" s="503" t="s">
        <v>3146</v>
      </c>
      <c r="C1523" s="514">
        <v>0</v>
      </c>
      <c r="D1523" s="514">
        <v>0</v>
      </c>
      <c r="E1523" s="514">
        <v>0</v>
      </c>
      <c r="F1523" s="514">
        <v>0</v>
      </c>
      <c r="G1523" s="514">
        <v>0</v>
      </c>
      <c r="H1523" s="514">
        <v>0</v>
      </c>
      <c r="I1523" s="514">
        <v>0</v>
      </c>
      <c r="J1523" s="514">
        <v>0</v>
      </c>
      <c r="K1523" s="514">
        <v>0</v>
      </c>
      <c r="L1523" s="514">
        <v>0</v>
      </c>
      <c r="M1523" s="514">
        <v>0</v>
      </c>
      <c r="N1523" s="514">
        <v>0</v>
      </c>
      <c r="O1523" s="499"/>
      <c r="P1523" s="499"/>
      <c r="Q1523" s="499"/>
    </row>
    <row r="1524" spans="1:17" ht="14.4" x14ac:dyDescent="0.3">
      <c r="A1524" s="502">
        <v>4600720</v>
      </c>
      <c r="B1524" s="503" t="s">
        <v>3147</v>
      </c>
      <c r="C1524" s="514">
        <v>0</v>
      </c>
      <c r="D1524" s="514">
        <v>0</v>
      </c>
      <c r="E1524" s="514">
        <v>0</v>
      </c>
      <c r="F1524" s="514">
        <v>0</v>
      </c>
      <c r="G1524" s="514">
        <v>0</v>
      </c>
      <c r="H1524" s="514">
        <v>0</v>
      </c>
      <c r="I1524" s="514">
        <v>0</v>
      </c>
      <c r="J1524" s="514">
        <v>0</v>
      </c>
      <c r="K1524" s="514">
        <v>0</v>
      </c>
      <c r="L1524" s="514">
        <v>0</v>
      </c>
      <c r="M1524" s="514">
        <v>0</v>
      </c>
      <c r="N1524" s="514">
        <v>0</v>
      </c>
      <c r="O1524" s="499"/>
      <c r="P1524" s="499"/>
      <c r="Q1524" s="499"/>
    </row>
    <row r="1525" spans="1:17" ht="14.4" x14ac:dyDescent="0.3">
      <c r="A1525" s="502">
        <v>4600740</v>
      </c>
      <c r="B1525" s="503" t="s">
        <v>3148</v>
      </c>
      <c r="C1525" s="514">
        <v>0</v>
      </c>
      <c r="D1525" s="514">
        <v>0</v>
      </c>
      <c r="E1525" s="514">
        <v>0</v>
      </c>
      <c r="F1525" s="514">
        <v>0</v>
      </c>
      <c r="G1525" s="514">
        <v>0</v>
      </c>
      <c r="H1525" s="514">
        <v>0</v>
      </c>
      <c r="I1525" s="514">
        <v>0</v>
      </c>
      <c r="J1525" s="514">
        <v>0</v>
      </c>
      <c r="K1525" s="514">
        <v>0</v>
      </c>
      <c r="L1525" s="514">
        <v>0</v>
      </c>
      <c r="M1525" s="514">
        <v>0</v>
      </c>
      <c r="N1525" s="514">
        <v>0</v>
      </c>
      <c r="O1525" s="499"/>
      <c r="P1525" s="499"/>
      <c r="Q1525" s="499"/>
    </row>
    <row r="1526" spans="1:17" ht="14.4" x14ac:dyDescent="0.3">
      <c r="A1526" s="502">
        <v>4611000</v>
      </c>
      <c r="B1526" s="503" t="s">
        <v>3149</v>
      </c>
      <c r="C1526" s="514">
        <v>0</v>
      </c>
      <c r="D1526" s="514">
        <v>0</v>
      </c>
      <c r="E1526" s="514">
        <v>0</v>
      </c>
      <c r="F1526" s="514">
        <v>0</v>
      </c>
      <c r="G1526" s="514">
        <v>0</v>
      </c>
      <c r="H1526" s="514">
        <v>0</v>
      </c>
      <c r="I1526" s="514">
        <v>0</v>
      </c>
      <c r="J1526" s="514">
        <v>0</v>
      </c>
      <c r="K1526" s="514">
        <v>0</v>
      </c>
      <c r="L1526" s="514">
        <v>0</v>
      </c>
      <c r="M1526" s="514">
        <v>0</v>
      </c>
      <c r="N1526" s="514">
        <v>0</v>
      </c>
      <c r="O1526" s="499"/>
      <c r="P1526" s="499"/>
      <c r="Q1526" s="499"/>
    </row>
    <row r="1527" spans="1:17" ht="14.4" x14ac:dyDescent="0.3">
      <c r="A1527" s="502">
        <v>4612000</v>
      </c>
      <c r="B1527" s="503" t="s">
        <v>3150</v>
      </c>
      <c r="C1527" s="514">
        <v>0</v>
      </c>
      <c r="D1527" s="514">
        <v>0</v>
      </c>
      <c r="E1527" s="514">
        <v>0</v>
      </c>
      <c r="F1527" s="514">
        <v>0</v>
      </c>
      <c r="G1527" s="514">
        <v>0</v>
      </c>
      <c r="H1527" s="514">
        <v>0</v>
      </c>
      <c r="I1527" s="514">
        <v>0</v>
      </c>
      <c r="J1527" s="514">
        <v>0</v>
      </c>
      <c r="K1527" s="514">
        <v>0</v>
      </c>
      <c r="L1527" s="514">
        <v>0</v>
      </c>
      <c r="M1527" s="514">
        <v>0</v>
      </c>
      <c r="N1527" s="514">
        <v>0</v>
      </c>
      <c r="O1527" s="499"/>
      <c r="P1527" s="499"/>
      <c r="Q1527" s="499"/>
    </row>
    <row r="1528" spans="1:17" ht="14.4" x14ac:dyDescent="0.3">
      <c r="A1528" s="502">
        <v>4612100</v>
      </c>
      <c r="B1528" s="503" t="s">
        <v>3151</v>
      </c>
      <c r="C1528" s="514">
        <v>0</v>
      </c>
      <c r="D1528" s="514">
        <v>0</v>
      </c>
      <c r="E1528" s="514">
        <v>0</v>
      </c>
      <c r="F1528" s="514">
        <v>0</v>
      </c>
      <c r="G1528" s="514">
        <v>0</v>
      </c>
      <c r="H1528" s="514">
        <v>0</v>
      </c>
      <c r="I1528" s="514">
        <v>0</v>
      </c>
      <c r="J1528" s="514">
        <v>0</v>
      </c>
      <c r="K1528" s="514">
        <v>0</v>
      </c>
      <c r="L1528" s="514">
        <v>0</v>
      </c>
      <c r="M1528" s="514">
        <v>0</v>
      </c>
      <c r="N1528" s="514">
        <v>0</v>
      </c>
      <c r="O1528" s="499"/>
      <c r="P1528" s="499"/>
      <c r="Q1528" s="499"/>
    </row>
    <row r="1529" spans="1:17" ht="14.4" x14ac:dyDescent="0.3">
      <c r="A1529" s="502">
        <v>4613000</v>
      </c>
      <c r="B1529" s="503" t="s">
        <v>3152</v>
      </c>
      <c r="C1529" s="514">
        <v>0</v>
      </c>
      <c r="D1529" s="514">
        <v>0</v>
      </c>
      <c r="E1529" s="514">
        <v>0</v>
      </c>
      <c r="F1529" s="514">
        <v>0</v>
      </c>
      <c r="G1529" s="514">
        <v>0</v>
      </c>
      <c r="H1529" s="514">
        <v>0</v>
      </c>
      <c r="I1529" s="514">
        <v>0</v>
      </c>
      <c r="J1529" s="514">
        <v>0</v>
      </c>
      <c r="K1529" s="514">
        <v>0</v>
      </c>
      <c r="L1529" s="514">
        <v>0</v>
      </c>
      <c r="M1529" s="514">
        <v>0</v>
      </c>
      <c r="N1529" s="514">
        <v>0</v>
      </c>
      <c r="O1529" s="499"/>
      <c r="P1529" s="499"/>
      <c r="Q1529" s="499"/>
    </row>
    <row r="1530" spans="1:17" ht="14.4" x14ac:dyDescent="0.3">
      <c r="A1530" s="502">
        <v>4613010</v>
      </c>
      <c r="B1530" s="503" t="s">
        <v>3153</v>
      </c>
      <c r="C1530" s="514">
        <v>0</v>
      </c>
      <c r="D1530" s="514">
        <v>0</v>
      </c>
      <c r="E1530" s="514">
        <v>0</v>
      </c>
      <c r="F1530" s="514">
        <v>0</v>
      </c>
      <c r="G1530" s="514">
        <v>0</v>
      </c>
      <c r="H1530" s="514">
        <v>0</v>
      </c>
      <c r="I1530" s="514">
        <v>0</v>
      </c>
      <c r="J1530" s="514">
        <v>0</v>
      </c>
      <c r="K1530" s="514">
        <v>0</v>
      </c>
      <c r="L1530" s="514">
        <v>0</v>
      </c>
      <c r="M1530" s="514">
        <v>0</v>
      </c>
      <c r="N1530" s="514">
        <v>0</v>
      </c>
      <c r="O1530" s="499"/>
      <c r="P1530" s="499"/>
      <c r="Q1530" s="499"/>
    </row>
    <row r="1531" spans="1:17" ht="14.4" x14ac:dyDescent="0.3">
      <c r="A1531" s="502">
        <v>4613020</v>
      </c>
      <c r="B1531" s="503" t="s">
        <v>3154</v>
      </c>
      <c r="C1531" s="514">
        <v>0</v>
      </c>
      <c r="D1531" s="514">
        <v>0</v>
      </c>
      <c r="E1531" s="514">
        <v>0</v>
      </c>
      <c r="F1531" s="514">
        <v>0</v>
      </c>
      <c r="G1531" s="514">
        <v>0</v>
      </c>
      <c r="H1531" s="514">
        <v>0</v>
      </c>
      <c r="I1531" s="514">
        <v>0</v>
      </c>
      <c r="J1531" s="514">
        <v>0</v>
      </c>
      <c r="K1531" s="514">
        <v>0</v>
      </c>
      <c r="L1531" s="514">
        <v>0</v>
      </c>
      <c r="M1531" s="514">
        <v>0</v>
      </c>
      <c r="N1531" s="514">
        <v>0</v>
      </c>
      <c r="O1531" s="499"/>
      <c r="P1531" s="499"/>
      <c r="Q1531" s="499"/>
    </row>
    <row r="1532" spans="1:17" ht="14.4" x14ac:dyDescent="0.3">
      <c r="A1532" s="502">
        <v>4690000</v>
      </c>
      <c r="B1532" s="503" t="s">
        <v>3155</v>
      </c>
      <c r="C1532" s="514">
        <v>0</v>
      </c>
      <c r="D1532" s="514">
        <v>0</v>
      </c>
      <c r="E1532" s="514">
        <v>0</v>
      </c>
      <c r="F1532" s="514">
        <v>0</v>
      </c>
      <c r="G1532" s="514">
        <v>0</v>
      </c>
      <c r="H1532" s="514">
        <v>0</v>
      </c>
      <c r="I1532" s="514">
        <v>0</v>
      </c>
      <c r="J1532" s="514">
        <v>0</v>
      </c>
      <c r="K1532" s="514">
        <v>0</v>
      </c>
      <c r="L1532" s="514">
        <v>0</v>
      </c>
      <c r="M1532" s="514">
        <v>0</v>
      </c>
      <c r="N1532" s="514">
        <v>0</v>
      </c>
      <c r="O1532" s="499"/>
      <c r="P1532" s="499"/>
      <c r="Q1532" s="499"/>
    </row>
    <row r="1533" spans="1:17" ht="14.4" x14ac:dyDescent="0.3">
      <c r="A1533" s="502">
        <v>4690100</v>
      </c>
      <c r="B1533" s="503" t="s">
        <v>3156</v>
      </c>
      <c r="C1533" s="514">
        <v>0</v>
      </c>
      <c r="D1533" s="514">
        <v>0</v>
      </c>
      <c r="E1533" s="514">
        <v>0</v>
      </c>
      <c r="F1533" s="514">
        <v>0</v>
      </c>
      <c r="G1533" s="514">
        <v>0</v>
      </c>
      <c r="H1533" s="514">
        <v>0</v>
      </c>
      <c r="I1533" s="514">
        <v>0</v>
      </c>
      <c r="J1533" s="514">
        <v>0</v>
      </c>
      <c r="K1533" s="514">
        <v>0</v>
      </c>
      <c r="L1533" s="514">
        <v>0</v>
      </c>
      <c r="M1533" s="514">
        <v>0</v>
      </c>
      <c r="N1533" s="514">
        <v>0</v>
      </c>
      <c r="O1533" s="499"/>
      <c r="P1533" s="499"/>
      <c r="Q1533" s="499"/>
    </row>
    <row r="1534" spans="1:17" ht="14.4" x14ac:dyDescent="0.3">
      <c r="A1534" s="502">
        <v>4690110</v>
      </c>
      <c r="B1534" s="503" t="s">
        <v>3157</v>
      </c>
      <c r="C1534" s="514">
        <v>0</v>
      </c>
      <c r="D1534" s="514">
        <v>0</v>
      </c>
      <c r="E1534" s="514">
        <v>0</v>
      </c>
      <c r="F1534" s="514">
        <v>0</v>
      </c>
      <c r="G1534" s="514">
        <v>0</v>
      </c>
      <c r="H1534" s="514">
        <v>0</v>
      </c>
      <c r="I1534" s="514">
        <v>0</v>
      </c>
      <c r="J1534" s="514">
        <v>0</v>
      </c>
      <c r="K1534" s="514">
        <v>0</v>
      </c>
      <c r="L1534" s="514">
        <v>0</v>
      </c>
      <c r="M1534" s="514">
        <v>0</v>
      </c>
      <c r="N1534" s="514">
        <v>0</v>
      </c>
      <c r="O1534" s="499"/>
      <c r="P1534" s="499"/>
      <c r="Q1534" s="499"/>
    </row>
    <row r="1535" spans="1:17" ht="14.4" x14ac:dyDescent="0.3">
      <c r="A1535" s="502">
        <v>4800010</v>
      </c>
      <c r="B1535" s="503" t="s">
        <v>3158</v>
      </c>
      <c r="C1535" s="514">
        <v>0</v>
      </c>
      <c r="D1535" s="514">
        <v>0</v>
      </c>
      <c r="E1535" s="514">
        <v>0</v>
      </c>
      <c r="F1535" s="514">
        <v>0</v>
      </c>
      <c r="G1535" s="514">
        <v>0</v>
      </c>
      <c r="H1535" s="514">
        <v>0</v>
      </c>
      <c r="I1535" s="514">
        <v>0</v>
      </c>
      <c r="J1535" s="514">
        <v>0</v>
      </c>
      <c r="K1535" s="514">
        <v>0</v>
      </c>
      <c r="L1535" s="514">
        <v>0</v>
      </c>
      <c r="M1535" s="514">
        <v>0</v>
      </c>
      <c r="N1535" s="514">
        <v>0</v>
      </c>
      <c r="O1535" s="499"/>
      <c r="P1535" s="499"/>
      <c r="Q1535" s="499"/>
    </row>
    <row r="1536" spans="1:17" ht="14.4" x14ac:dyDescent="0.3">
      <c r="A1536" s="502">
        <v>4800011</v>
      </c>
      <c r="B1536" s="503" t="s">
        <v>3159</v>
      </c>
      <c r="C1536" s="514">
        <v>0</v>
      </c>
      <c r="D1536" s="514">
        <v>0</v>
      </c>
      <c r="E1536" s="514">
        <v>0</v>
      </c>
      <c r="F1536" s="514">
        <v>0</v>
      </c>
      <c r="G1536" s="514">
        <v>0</v>
      </c>
      <c r="H1536" s="514">
        <v>0</v>
      </c>
      <c r="I1536" s="514">
        <v>0</v>
      </c>
      <c r="J1536" s="514">
        <v>0</v>
      </c>
      <c r="K1536" s="514">
        <v>0</v>
      </c>
      <c r="L1536" s="514">
        <v>0</v>
      </c>
      <c r="M1536" s="514">
        <v>0</v>
      </c>
      <c r="N1536" s="514">
        <v>0</v>
      </c>
      <c r="O1536" s="499"/>
      <c r="P1536" s="499"/>
      <c r="Q1536" s="499"/>
    </row>
    <row r="1537" spans="1:17" ht="14.4" x14ac:dyDescent="0.3">
      <c r="A1537" s="502">
        <v>4800020</v>
      </c>
      <c r="B1537" s="503" t="s">
        <v>3160</v>
      </c>
      <c r="C1537" s="514">
        <v>0</v>
      </c>
      <c r="D1537" s="514">
        <v>0</v>
      </c>
      <c r="E1537" s="514">
        <v>0</v>
      </c>
      <c r="F1537" s="514">
        <v>0</v>
      </c>
      <c r="G1537" s="514">
        <v>0</v>
      </c>
      <c r="H1537" s="514">
        <v>0</v>
      </c>
      <c r="I1537" s="514">
        <v>0</v>
      </c>
      <c r="J1537" s="514">
        <v>0</v>
      </c>
      <c r="K1537" s="514">
        <v>0</v>
      </c>
      <c r="L1537" s="514">
        <v>0</v>
      </c>
      <c r="M1537" s="514">
        <v>0</v>
      </c>
      <c r="N1537" s="514">
        <v>0</v>
      </c>
      <c r="O1537" s="499"/>
      <c r="P1537" s="499"/>
      <c r="Q1537" s="499"/>
    </row>
    <row r="1538" spans="1:17" ht="14.4" x14ac:dyDescent="0.3">
      <c r="A1538" s="502">
        <v>4800021</v>
      </c>
      <c r="B1538" s="503" t="s">
        <v>3161</v>
      </c>
      <c r="C1538" s="514">
        <v>0</v>
      </c>
      <c r="D1538" s="514">
        <v>0</v>
      </c>
      <c r="E1538" s="514">
        <v>0</v>
      </c>
      <c r="F1538" s="514">
        <v>0</v>
      </c>
      <c r="G1538" s="514">
        <v>0</v>
      </c>
      <c r="H1538" s="514">
        <v>0</v>
      </c>
      <c r="I1538" s="514">
        <v>0</v>
      </c>
      <c r="J1538" s="514">
        <v>0</v>
      </c>
      <c r="K1538" s="514">
        <v>0</v>
      </c>
      <c r="L1538" s="514">
        <v>0</v>
      </c>
      <c r="M1538" s="514">
        <v>0</v>
      </c>
      <c r="N1538" s="514">
        <v>0</v>
      </c>
      <c r="O1538" s="499"/>
      <c r="P1538" s="499"/>
      <c r="Q1538" s="499"/>
    </row>
    <row r="1539" spans="1:17" ht="14.4" x14ac:dyDescent="0.3">
      <c r="A1539" s="502">
        <v>4800030</v>
      </c>
      <c r="B1539" s="503" t="s">
        <v>3162</v>
      </c>
      <c r="C1539" s="514">
        <v>0</v>
      </c>
      <c r="D1539" s="514">
        <v>0</v>
      </c>
      <c r="E1539" s="514">
        <v>0</v>
      </c>
      <c r="F1539" s="514">
        <v>0</v>
      </c>
      <c r="G1539" s="514">
        <v>0</v>
      </c>
      <c r="H1539" s="514">
        <v>0</v>
      </c>
      <c r="I1539" s="514">
        <v>0</v>
      </c>
      <c r="J1539" s="514">
        <v>0</v>
      </c>
      <c r="K1539" s="514">
        <v>0</v>
      </c>
      <c r="L1539" s="514">
        <v>0</v>
      </c>
      <c r="M1539" s="514">
        <v>0</v>
      </c>
      <c r="N1539" s="514">
        <v>0</v>
      </c>
      <c r="O1539" s="499"/>
      <c r="P1539" s="499"/>
      <c r="Q1539" s="499"/>
    </row>
    <row r="1540" spans="1:17" ht="14.4" x14ac:dyDescent="0.3">
      <c r="A1540" s="502">
        <v>4800031</v>
      </c>
      <c r="B1540" s="503" t="s">
        <v>3163</v>
      </c>
      <c r="C1540" s="514">
        <v>0</v>
      </c>
      <c r="D1540" s="514">
        <v>0</v>
      </c>
      <c r="E1540" s="514">
        <v>0</v>
      </c>
      <c r="F1540" s="514">
        <v>0</v>
      </c>
      <c r="G1540" s="514">
        <v>0</v>
      </c>
      <c r="H1540" s="514">
        <v>0</v>
      </c>
      <c r="I1540" s="514">
        <v>0</v>
      </c>
      <c r="J1540" s="514">
        <v>0</v>
      </c>
      <c r="K1540" s="514">
        <v>0</v>
      </c>
      <c r="L1540" s="514">
        <v>0</v>
      </c>
      <c r="M1540" s="514">
        <v>0</v>
      </c>
      <c r="N1540" s="514">
        <v>0</v>
      </c>
      <c r="O1540" s="499"/>
      <c r="P1540" s="499"/>
      <c r="Q1540" s="499"/>
    </row>
    <row r="1541" spans="1:17" ht="14.4" x14ac:dyDescent="0.3">
      <c r="A1541" s="502">
        <v>4800035</v>
      </c>
      <c r="B1541" s="503" t="s">
        <v>3164</v>
      </c>
      <c r="C1541" s="514">
        <v>0</v>
      </c>
      <c r="D1541" s="514">
        <v>0</v>
      </c>
      <c r="E1541" s="514">
        <v>0</v>
      </c>
      <c r="F1541" s="514">
        <v>0</v>
      </c>
      <c r="G1541" s="514">
        <v>0</v>
      </c>
      <c r="H1541" s="514">
        <v>0</v>
      </c>
      <c r="I1541" s="514">
        <v>0</v>
      </c>
      <c r="J1541" s="514">
        <v>0</v>
      </c>
      <c r="K1541" s="514">
        <v>0</v>
      </c>
      <c r="L1541" s="514">
        <v>0</v>
      </c>
      <c r="M1541" s="514">
        <v>0</v>
      </c>
      <c r="N1541" s="514">
        <v>0</v>
      </c>
      <c r="O1541" s="499"/>
      <c r="P1541" s="499"/>
      <c r="Q1541" s="499"/>
    </row>
    <row r="1542" spans="1:17" ht="14.4" x14ac:dyDescent="0.3">
      <c r="A1542" s="502">
        <v>4800036</v>
      </c>
      <c r="B1542" s="503" t="s">
        <v>3165</v>
      </c>
      <c r="C1542" s="514">
        <v>0</v>
      </c>
      <c r="D1542" s="514">
        <v>0</v>
      </c>
      <c r="E1542" s="514">
        <v>0</v>
      </c>
      <c r="F1542" s="514">
        <v>0</v>
      </c>
      <c r="G1542" s="514">
        <v>0</v>
      </c>
      <c r="H1542" s="514">
        <v>0</v>
      </c>
      <c r="I1542" s="514">
        <v>0</v>
      </c>
      <c r="J1542" s="514">
        <v>0</v>
      </c>
      <c r="K1542" s="514">
        <v>0</v>
      </c>
      <c r="L1542" s="514">
        <v>0</v>
      </c>
      <c r="M1542" s="514">
        <v>0</v>
      </c>
      <c r="N1542" s="514">
        <v>0</v>
      </c>
      <c r="O1542" s="499"/>
      <c r="P1542" s="499"/>
      <c r="Q1542" s="499"/>
    </row>
    <row r="1543" spans="1:17" ht="14.4" x14ac:dyDescent="0.3">
      <c r="A1543" s="502">
        <v>4800037</v>
      </c>
      <c r="B1543" s="503" t="s">
        <v>3166</v>
      </c>
      <c r="C1543" s="514">
        <v>0</v>
      </c>
      <c r="D1543" s="514">
        <v>0</v>
      </c>
      <c r="E1543" s="514">
        <v>0</v>
      </c>
      <c r="F1543" s="514">
        <v>0</v>
      </c>
      <c r="G1543" s="514">
        <v>0</v>
      </c>
      <c r="H1543" s="514">
        <v>0</v>
      </c>
      <c r="I1543" s="514">
        <v>0</v>
      </c>
      <c r="J1543" s="514">
        <v>0</v>
      </c>
      <c r="K1543" s="514">
        <v>0</v>
      </c>
      <c r="L1543" s="514">
        <v>0</v>
      </c>
      <c r="M1543" s="514">
        <v>0</v>
      </c>
      <c r="N1543" s="514">
        <v>0</v>
      </c>
      <c r="O1543" s="499"/>
      <c r="P1543" s="499"/>
      <c r="Q1543" s="499"/>
    </row>
    <row r="1544" spans="1:17" ht="14.4" x14ac:dyDescent="0.3">
      <c r="A1544" s="502">
        <v>4800038</v>
      </c>
      <c r="B1544" s="503" t="s">
        <v>3167</v>
      </c>
      <c r="C1544" s="514">
        <v>0</v>
      </c>
      <c r="D1544" s="514">
        <v>0</v>
      </c>
      <c r="E1544" s="514">
        <v>0</v>
      </c>
      <c r="F1544" s="514">
        <v>0</v>
      </c>
      <c r="G1544" s="514">
        <v>0</v>
      </c>
      <c r="H1544" s="514">
        <v>0</v>
      </c>
      <c r="I1544" s="514">
        <v>0</v>
      </c>
      <c r="J1544" s="514">
        <v>0</v>
      </c>
      <c r="K1544" s="514">
        <v>0</v>
      </c>
      <c r="L1544" s="514">
        <v>0</v>
      </c>
      <c r="M1544" s="514">
        <v>0</v>
      </c>
      <c r="N1544" s="514">
        <v>0</v>
      </c>
      <c r="O1544" s="499"/>
      <c r="P1544" s="499"/>
      <c r="Q1544" s="499"/>
    </row>
    <row r="1545" spans="1:17" ht="14.4" x14ac:dyDescent="0.3">
      <c r="A1545" s="502">
        <v>4800040</v>
      </c>
      <c r="B1545" s="503" t="s">
        <v>3168</v>
      </c>
      <c r="C1545" s="514">
        <v>0</v>
      </c>
      <c r="D1545" s="514">
        <v>0</v>
      </c>
      <c r="E1545" s="514">
        <v>0</v>
      </c>
      <c r="F1545" s="514">
        <v>0</v>
      </c>
      <c r="G1545" s="514">
        <v>0</v>
      </c>
      <c r="H1545" s="514">
        <v>0</v>
      </c>
      <c r="I1545" s="514">
        <v>0</v>
      </c>
      <c r="J1545" s="514">
        <v>0</v>
      </c>
      <c r="K1545" s="514">
        <v>0</v>
      </c>
      <c r="L1545" s="514">
        <v>0</v>
      </c>
      <c r="M1545" s="514">
        <v>0</v>
      </c>
      <c r="N1545" s="514">
        <v>0</v>
      </c>
      <c r="O1545" s="499"/>
      <c r="P1545" s="499"/>
      <c r="Q1545" s="499"/>
    </row>
    <row r="1546" spans="1:17" ht="14.4" x14ac:dyDescent="0.3">
      <c r="A1546" s="502">
        <v>4800041</v>
      </c>
      <c r="B1546" s="503" t="s">
        <v>3169</v>
      </c>
      <c r="C1546" s="514">
        <v>0</v>
      </c>
      <c r="D1546" s="514">
        <v>0</v>
      </c>
      <c r="E1546" s="514">
        <v>0</v>
      </c>
      <c r="F1546" s="514">
        <v>0</v>
      </c>
      <c r="G1546" s="514">
        <v>0</v>
      </c>
      <c r="H1546" s="514">
        <v>0</v>
      </c>
      <c r="I1546" s="514">
        <v>0</v>
      </c>
      <c r="J1546" s="514">
        <v>0</v>
      </c>
      <c r="K1546" s="514">
        <v>0</v>
      </c>
      <c r="L1546" s="514">
        <v>0</v>
      </c>
      <c r="M1546" s="514">
        <v>0</v>
      </c>
      <c r="N1546" s="514">
        <v>0</v>
      </c>
      <c r="O1546" s="499"/>
      <c r="P1546" s="499"/>
      <c r="Q1546" s="499"/>
    </row>
    <row r="1547" spans="1:17" ht="14.4" x14ac:dyDescent="0.3">
      <c r="A1547" s="502">
        <v>4800042</v>
      </c>
      <c r="B1547" s="503" t="s">
        <v>3170</v>
      </c>
      <c r="C1547" s="514">
        <v>0</v>
      </c>
      <c r="D1547" s="514">
        <v>0</v>
      </c>
      <c r="E1547" s="514">
        <v>0</v>
      </c>
      <c r="F1547" s="514">
        <v>0</v>
      </c>
      <c r="G1547" s="514">
        <v>0</v>
      </c>
      <c r="H1547" s="514">
        <v>0</v>
      </c>
      <c r="I1547" s="514">
        <v>0</v>
      </c>
      <c r="J1547" s="514">
        <v>0</v>
      </c>
      <c r="K1547" s="514">
        <v>0</v>
      </c>
      <c r="L1547" s="514">
        <v>0</v>
      </c>
      <c r="M1547" s="514">
        <v>0</v>
      </c>
      <c r="N1547" s="514">
        <v>0</v>
      </c>
      <c r="O1547" s="499"/>
      <c r="P1547" s="499"/>
      <c r="Q1547" s="499"/>
    </row>
    <row r="1548" spans="1:17" ht="14.4" x14ac:dyDescent="0.3">
      <c r="A1548" s="502">
        <v>4800043</v>
      </c>
      <c r="B1548" s="503" t="s">
        <v>3171</v>
      </c>
      <c r="C1548" s="514">
        <v>0</v>
      </c>
      <c r="D1548" s="514">
        <v>0</v>
      </c>
      <c r="E1548" s="514">
        <v>0</v>
      </c>
      <c r="F1548" s="514">
        <v>0</v>
      </c>
      <c r="G1548" s="514">
        <v>0</v>
      </c>
      <c r="H1548" s="514">
        <v>0</v>
      </c>
      <c r="I1548" s="514">
        <v>0</v>
      </c>
      <c r="J1548" s="514">
        <v>0</v>
      </c>
      <c r="K1548" s="514">
        <v>0</v>
      </c>
      <c r="L1548" s="514">
        <v>0</v>
      </c>
      <c r="M1548" s="514">
        <v>0</v>
      </c>
      <c r="N1548" s="514">
        <v>0</v>
      </c>
      <c r="O1548" s="499"/>
      <c r="P1548" s="499"/>
      <c r="Q1548" s="499"/>
    </row>
    <row r="1549" spans="1:17" ht="14.4" x14ac:dyDescent="0.3">
      <c r="A1549" s="502">
        <v>4800044</v>
      </c>
      <c r="B1549" s="503" t="s">
        <v>3172</v>
      </c>
      <c r="C1549" s="514">
        <v>0</v>
      </c>
      <c r="D1549" s="514">
        <v>0</v>
      </c>
      <c r="E1549" s="514">
        <v>0</v>
      </c>
      <c r="F1549" s="514">
        <v>0</v>
      </c>
      <c r="G1549" s="514">
        <v>0</v>
      </c>
      <c r="H1549" s="514">
        <v>0</v>
      </c>
      <c r="I1549" s="514">
        <v>0</v>
      </c>
      <c r="J1549" s="514">
        <v>0</v>
      </c>
      <c r="K1549" s="514">
        <v>0</v>
      </c>
      <c r="L1549" s="514">
        <v>0</v>
      </c>
      <c r="M1549" s="514">
        <v>0</v>
      </c>
      <c r="N1549" s="514">
        <v>0</v>
      </c>
      <c r="O1549" s="499"/>
      <c r="P1549" s="499"/>
      <c r="Q1549" s="499"/>
    </row>
    <row r="1550" spans="1:17" ht="14.4" x14ac:dyDescent="0.3">
      <c r="A1550" s="502">
        <v>4800045</v>
      </c>
      <c r="B1550" s="503" t="s">
        <v>3173</v>
      </c>
      <c r="C1550" s="514">
        <v>0</v>
      </c>
      <c r="D1550" s="514">
        <v>0</v>
      </c>
      <c r="E1550" s="514">
        <v>0</v>
      </c>
      <c r="F1550" s="514">
        <v>0</v>
      </c>
      <c r="G1550" s="514">
        <v>0</v>
      </c>
      <c r="H1550" s="514">
        <v>0</v>
      </c>
      <c r="I1550" s="514">
        <v>0</v>
      </c>
      <c r="J1550" s="514">
        <v>0</v>
      </c>
      <c r="K1550" s="514">
        <v>0</v>
      </c>
      <c r="L1550" s="514">
        <v>0</v>
      </c>
      <c r="M1550" s="514">
        <v>0</v>
      </c>
      <c r="N1550" s="514">
        <v>0</v>
      </c>
      <c r="O1550" s="499"/>
      <c r="P1550" s="499"/>
      <c r="Q1550" s="499"/>
    </row>
    <row r="1551" spans="1:17" ht="14.4" x14ac:dyDescent="0.3">
      <c r="A1551" s="502">
        <v>4800110</v>
      </c>
      <c r="B1551" s="503" t="s">
        <v>3174</v>
      </c>
      <c r="C1551" s="514">
        <v>0</v>
      </c>
      <c r="D1551" s="514">
        <v>0</v>
      </c>
      <c r="E1551" s="514">
        <v>0</v>
      </c>
      <c r="F1551" s="514">
        <v>0</v>
      </c>
      <c r="G1551" s="514">
        <v>0</v>
      </c>
      <c r="H1551" s="514">
        <v>0</v>
      </c>
      <c r="I1551" s="514">
        <v>0</v>
      </c>
      <c r="J1551" s="514">
        <v>0</v>
      </c>
      <c r="K1551" s="514">
        <v>0</v>
      </c>
      <c r="L1551" s="514">
        <v>0</v>
      </c>
      <c r="M1551" s="514">
        <v>0</v>
      </c>
      <c r="N1551" s="514">
        <v>0</v>
      </c>
      <c r="O1551" s="499"/>
      <c r="P1551" s="499"/>
      <c r="Q1551" s="499"/>
    </row>
    <row r="1552" spans="1:17" ht="14.4" x14ac:dyDescent="0.3">
      <c r="A1552" s="502">
        <v>4800120</v>
      </c>
      <c r="B1552" s="503" t="s">
        <v>3175</v>
      </c>
      <c r="C1552" s="514">
        <v>0</v>
      </c>
      <c r="D1552" s="514">
        <v>0</v>
      </c>
      <c r="E1552" s="514">
        <v>0</v>
      </c>
      <c r="F1552" s="514">
        <v>0</v>
      </c>
      <c r="G1552" s="514">
        <v>0</v>
      </c>
      <c r="H1552" s="514">
        <v>0</v>
      </c>
      <c r="I1552" s="514">
        <v>0</v>
      </c>
      <c r="J1552" s="514">
        <v>0</v>
      </c>
      <c r="K1552" s="514">
        <v>0</v>
      </c>
      <c r="L1552" s="514">
        <v>0</v>
      </c>
      <c r="M1552" s="514">
        <v>0</v>
      </c>
      <c r="N1552" s="514">
        <v>0</v>
      </c>
      <c r="O1552" s="499"/>
      <c r="P1552" s="499"/>
      <c r="Q1552" s="499"/>
    </row>
    <row r="1553" spans="1:17" ht="14.4" x14ac:dyDescent="0.3">
      <c r="A1553" s="502">
        <v>4800140</v>
      </c>
      <c r="B1553" s="503" t="s">
        <v>3176</v>
      </c>
      <c r="C1553" s="514">
        <v>0</v>
      </c>
      <c r="D1553" s="514">
        <v>0</v>
      </c>
      <c r="E1553" s="514">
        <v>0</v>
      </c>
      <c r="F1553" s="514">
        <v>0</v>
      </c>
      <c r="G1553" s="514">
        <v>0</v>
      </c>
      <c r="H1553" s="514">
        <v>0</v>
      </c>
      <c r="I1553" s="514">
        <v>0</v>
      </c>
      <c r="J1553" s="514">
        <v>0</v>
      </c>
      <c r="K1553" s="514">
        <v>0</v>
      </c>
      <c r="L1553" s="514">
        <v>0</v>
      </c>
      <c r="M1553" s="514">
        <v>0</v>
      </c>
      <c r="N1553" s="514">
        <v>0</v>
      </c>
      <c r="O1553" s="499"/>
      <c r="P1553" s="499"/>
      <c r="Q1553" s="499"/>
    </row>
    <row r="1554" spans="1:17" ht="14.4" x14ac:dyDescent="0.3">
      <c r="A1554" s="502">
        <v>4800182</v>
      </c>
      <c r="B1554" s="503" t="s">
        <v>3177</v>
      </c>
      <c r="C1554" s="514">
        <v>0</v>
      </c>
      <c r="D1554" s="514">
        <v>0</v>
      </c>
      <c r="E1554" s="514">
        <v>0</v>
      </c>
      <c r="F1554" s="514">
        <v>0</v>
      </c>
      <c r="G1554" s="514">
        <v>0</v>
      </c>
      <c r="H1554" s="514">
        <v>0</v>
      </c>
      <c r="I1554" s="514">
        <v>0</v>
      </c>
      <c r="J1554" s="514">
        <v>0</v>
      </c>
      <c r="K1554" s="514">
        <v>0</v>
      </c>
      <c r="L1554" s="514">
        <v>0</v>
      </c>
      <c r="M1554" s="514">
        <v>0</v>
      </c>
      <c r="N1554" s="514">
        <v>0</v>
      </c>
      <c r="O1554" s="499"/>
      <c r="P1554" s="499"/>
      <c r="Q1554" s="499"/>
    </row>
    <row r="1555" spans="1:17" ht="14.4" x14ac:dyDescent="0.3">
      <c r="A1555" s="502">
        <v>4810001</v>
      </c>
      <c r="B1555" s="503" t="s">
        <v>3178</v>
      </c>
      <c r="C1555" s="514">
        <v>0</v>
      </c>
      <c r="D1555" s="514">
        <v>0</v>
      </c>
      <c r="E1555" s="514">
        <v>0</v>
      </c>
      <c r="F1555" s="514">
        <v>0</v>
      </c>
      <c r="G1555" s="514">
        <v>0</v>
      </c>
      <c r="H1555" s="514">
        <v>0</v>
      </c>
      <c r="I1555" s="514">
        <v>0</v>
      </c>
      <c r="J1555" s="514">
        <v>0</v>
      </c>
      <c r="K1555" s="514">
        <v>0</v>
      </c>
      <c r="L1555" s="514">
        <v>0</v>
      </c>
      <c r="M1555" s="514">
        <v>0</v>
      </c>
      <c r="N1555" s="514">
        <v>0</v>
      </c>
      <c r="O1555" s="499"/>
      <c r="P1555" s="499"/>
      <c r="Q1555" s="499"/>
    </row>
    <row r="1556" spans="1:17" ht="14.4" x14ac:dyDescent="0.3">
      <c r="A1556" s="502">
        <v>4810002</v>
      </c>
      <c r="B1556" s="503" t="s">
        <v>3179</v>
      </c>
      <c r="C1556" s="514">
        <v>0</v>
      </c>
      <c r="D1556" s="514">
        <v>0</v>
      </c>
      <c r="E1556" s="514">
        <v>0</v>
      </c>
      <c r="F1556" s="514">
        <v>0</v>
      </c>
      <c r="G1556" s="514">
        <v>0</v>
      </c>
      <c r="H1556" s="514">
        <v>0</v>
      </c>
      <c r="I1556" s="514">
        <v>0</v>
      </c>
      <c r="J1556" s="514">
        <v>0</v>
      </c>
      <c r="K1556" s="514">
        <v>0</v>
      </c>
      <c r="L1556" s="514">
        <v>0</v>
      </c>
      <c r="M1556" s="514">
        <v>0</v>
      </c>
      <c r="N1556" s="514">
        <v>0</v>
      </c>
      <c r="O1556" s="499"/>
      <c r="P1556" s="499"/>
      <c r="Q1556" s="499"/>
    </row>
    <row r="1557" spans="1:17" ht="14.4" x14ac:dyDescent="0.3">
      <c r="A1557" s="502">
        <v>4810004</v>
      </c>
      <c r="B1557" s="503" t="s">
        <v>3180</v>
      </c>
      <c r="C1557" s="514">
        <v>0</v>
      </c>
      <c r="D1557" s="514">
        <v>0</v>
      </c>
      <c r="E1557" s="514">
        <v>0</v>
      </c>
      <c r="F1557" s="514">
        <v>0</v>
      </c>
      <c r="G1557" s="514">
        <v>0</v>
      </c>
      <c r="H1557" s="514">
        <v>0</v>
      </c>
      <c r="I1557" s="514">
        <v>0</v>
      </c>
      <c r="J1557" s="514">
        <v>0</v>
      </c>
      <c r="K1557" s="514">
        <v>0</v>
      </c>
      <c r="L1557" s="514">
        <v>0</v>
      </c>
      <c r="M1557" s="514">
        <v>0</v>
      </c>
      <c r="N1557" s="514">
        <v>0</v>
      </c>
      <c r="O1557" s="499"/>
      <c r="P1557" s="499"/>
      <c r="Q1557" s="499"/>
    </row>
    <row r="1558" spans="1:17" ht="14.4" x14ac:dyDescent="0.3">
      <c r="A1558" s="502">
        <v>4810005</v>
      </c>
      <c r="B1558" s="503" t="s">
        <v>3181</v>
      </c>
      <c r="C1558" s="514">
        <v>0</v>
      </c>
      <c r="D1558" s="514">
        <v>0</v>
      </c>
      <c r="E1558" s="514">
        <v>0</v>
      </c>
      <c r="F1558" s="514">
        <v>0</v>
      </c>
      <c r="G1558" s="514">
        <v>0</v>
      </c>
      <c r="H1558" s="514">
        <v>0</v>
      </c>
      <c r="I1558" s="514">
        <v>0</v>
      </c>
      <c r="J1558" s="514">
        <v>0</v>
      </c>
      <c r="K1558" s="514">
        <v>0</v>
      </c>
      <c r="L1558" s="514">
        <v>0</v>
      </c>
      <c r="M1558" s="514">
        <v>0</v>
      </c>
      <c r="N1558" s="514">
        <v>0</v>
      </c>
      <c r="O1558" s="499"/>
      <c r="P1558" s="499"/>
      <c r="Q1558" s="499"/>
    </row>
    <row r="1559" spans="1:17" ht="14.4" x14ac:dyDescent="0.3">
      <c r="A1559" s="502">
        <v>4810008</v>
      </c>
      <c r="B1559" s="503" t="s">
        <v>3182</v>
      </c>
      <c r="C1559" s="514">
        <v>0</v>
      </c>
      <c r="D1559" s="514">
        <v>0</v>
      </c>
      <c r="E1559" s="514">
        <v>0</v>
      </c>
      <c r="F1559" s="514">
        <v>0</v>
      </c>
      <c r="G1559" s="514">
        <v>0</v>
      </c>
      <c r="H1559" s="514">
        <v>0</v>
      </c>
      <c r="I1559" s="514">
        <v>0</v>
      </c>
      <c r="J1559" s="514">
        <v>0</v>
      </c>
      <c r="K1559" s="514">
        <v>0</v>
      </c>
      <c r="L1559" s="514">
        <v>0</v>
      </c>
      <c r="M1559" s="514">
        <v>0</v>
      </c>
      <c r="N1559" s="514">
        <v>0</v>
      </c>
      <c r="O1559" s="499"/>
      <c r="P1559" s="499"/>
      <c r="Q1559" s="499"/>
    </row>
    <row r="1560" spans="1:17" ht="14.4" x14ac:dyDescent="0.3">
      <c r="A1560" s="502">
        <v>4810009</v>
      </c>
      <c r="B1560" s="503" t="s">
        <v>3183</v>
      </c>
      <c r="C1560" s="514">
        <v>0</v>
      </c>
      <c r="D1560" s="514">
        <v>0</v>
      </c>
      <c r="E1560" s="514">
        <v>0</v>
      </c>
      <c r="F1560" s="514">
        <v>0</v>
      </c>
      <c r="G1560" s="514">
        <v>0</v>
      </c>
      <c r="H1560" s="514">
        <v>0</v>
      </c>
      <c r="I1560" s="514">
        <v>0</v>
      </c>
      <c r="J1560" s="514">
        <v>0</v>
      </c>
      <c r="K1560" s="514">
        <v>0</v>
      </c>
      <c r="L1560" s="514">
        <v>0</v>
      </c>
      <c r="M1560" s="514">
        <v>0</v>
      </c>
      <c r="N1560" s="514">
        <v>0</v>
      </c>
      <c r="O1560" s="499"/>
      <c r="P1560" s="499"/>
      <c r="Q1560" s="499"/>
    </row>
    <row r="1561" spans="1:17" ht="14.4" x14ac:dyDescent="0.3">
      <c r="A1561" s="502">
        <v>4810033</v>
      </c>
      <c r="B1561" s="503" t="s">
        <v>3184</v>
      </c>
      <c r="C1561" s="514">
        <v>0</v>
      </c>
      <c r="D1561" s="514">
        <v>0</v>
      </c>
      <c r="E1561" s="514">
        <v>0</v>
      </c>
      <c r="F1561" s="514">
        <v>0</v>
      </c>
      <c r="G1561" s="514">
        <v>0</v>
      </c>
      <c r="H1561" s="514">
        <v>0</v>
      </c>
      <c r="I1561" s="514">
        <v>0</v>
      </c>
      <c r="J1561" s="514">
        <v>0</v>
      </c>
      <c r="K1561" s="514">
        <v>0</v>
      </c>
      <c r="L1561" s="514">
        <v>0</v>
      </c>
      <c r="M1561" s="514">
        <v>0</v>
      </c>
      <c r="N1561" s="514">
        <v>0</v>
      </c>
      <c r="O1561" s="499"/>
      <c r="P1561" s="499"/>
      <c r="Q1561" s="499"/>
    </row>
    <row r="1562" spans="1:17" ht="14.4" x14ac:dyDescent="0.3">
      <c r="A1562" s="502">
        <v>4810034</v>
      </c>
      <c r="B1562" s="503" t="s">
        <v>3185</v>
      </c>
      <c r="C1562" s="514">
        <v>0</v>
      </c>
      <c r="D1562" s="514">
        <v>0</v>
      </c>
      <c r="E1562" s="514">
        <v>0</v>
      </c>
      <c r="F1562" s="514">
        <v>0</v>
      </c>
      <c r="G1562" s="514">
        <v>0</v>
      </c>
      <c r="H1562" s="514">
        <v>0</v>
      </c>
      <c r="I1562" s="514">
        <v>0</v>
      </c>
      <c r="J1562" s="514">
        <v>0</v>
      </c>
      <c r="K1562" s="514">
        <v>0</v>
      </c>
      <c r="L1562" s="514">
        <v>0</v>
      </c>
      <c r="M1562" s="514">
        <v>0</v>
      </c>
      <c r="N1562" s="514">
        <v>0</v>
      </c>
      <c r="O1562" s="499"/>
      <c r="P1562" s="499"/>
      <c r="Q1562" s="499"/>
    </row>
    <row r="1563" spans="1:17" ht="14.4" x14ac:dyDescent="0.3">
      <c r="A1563" s="502">
        <v>4810035</v>
      </c>
      <c r="B1563" s="503" t="s">
        <v>3186</v>
      </c>
      <c r="C1563" s="514">
        <v>0</v>
      </c>
      <c r="D1563" s="514">
        <v>0</v>
      </c>
      <c r="E1563" s="514">
        <v>0</v>
      </c>
      <c r="F1563" s="514">
        <v>0</v>
      </c>
      <c r="G1563" s="514">
        <v>0</v>
      </c>
      <c r="H1563" s="514">
        <v>0</v>
      </c>
      <c r="I1563" s="514">
        <v>0</v>
      </c>
      <c r="J1563" s="514">
        <v>0</v>
      </c>
      <c r="K1563" s="514">
        <v>0</v>
      </c>
      <c r="L1563" s="514">
        <v>0</v>
      </c>
      <c r="M1563" s="514">
        <v>0</v>
      </c>
      <c r="N1563" s="514">
        <v>0</v>
      </c>
      <c r="O1563" s="499"/>
      <c r="P1563" s="499"/>
      <c r="Q1563" s="499"/>
    </row>
    <row r="1564" spans="1:17" ht="14.4" x14ac:dyDescent="0.3">
      <c r="A1564" s="502">
        <v>4810036</v>
      </c>
      <c r="B1564" s="503" t="s">
        <v>3187</v>
      </c>
      <c r="C1564" s="514">
        <v>0</v>
      </c>
      <c r="D1564" s="514">
        <v>0</v>
      </c>
      <c r="E1564" s="514">
        <v>0</v>
      </c>
      <c r="F1564" s="514">
        <v>0</v>
      </c>
      <c r="G1564" s="514">
        <v>0</v>
      </c>
      <c r="H1564" s="514">
        <v>0</v>
      </c>
      <c r="I1564" s="514">
        <v>0</v>
      </c>
      <c r="J1564" s="514">
        <v>0</v>
      </c>
      <c r="K1564" s="514">
        <v>0</v>
      </c>
      <c r="L1564" s="514">
        <v>0</v>
      </c>
      <c r="M1564" s="514">
        <v>0</v>
      </c>
      <c r="N1564" s="514">
        <v>0</v>
      </c>
      <c r="O1564" s="499"/>
      <c r="P1564" s="499"/>
      <c r="Q1564" s="499"/>
    </row>
    <row r="1565" spans="1:17" ht="14.4" x14ac:dyDescent="0.3">
      <c r="A1565" s="502">
        <v>4810050</v>
      </c>
      <c r="B1565" s="503" t="s">
        <v>3188</v>
      </c>
      <c r="C1565" s="514">
        <v>0</v>
      </c>
      <c r="D1565" s="514">
        <v>0</v>
      </c>
      <c r="E1565" s="514">
        <v>0</v>
      </c>
      <c r="F1565" s="514">
        <v>0</v>
      </c>
      <c r="G1565" s="514">
        <v>0</v>
      </c>
      <c r="H1565" s="514">
        <v>0</v>
      </c>
      <c r="I1565" s="514">
        <v>0</v>
      </c>
      <c r="J1565" s="514">
        <v>0</v>
      </c>
      <c r="K1565" s="514">
        <v>0</v>
      </c>
      <c r="L1565" s="514">
        <v>0</v>
      </c>
      <c r="M1565" s="514">
        <v>0</v>
      </c>
      <c r="N1565" s="514">
        <v>0</v>
      </c>
      <c r="O1565" s="499"/>
      <c r="P1565" s="499"/>
      <c r="Q1565" s="499"/>
    </row>
    <row r="1566" spans="1:17" ht="14.4" x14ac:dyDescent="0.3">
      <c r="A1566" s="502">
        <v>4810051</v>
      </c>
      <c r="B1566" s="503" t="s">
        <v>3189</v>
      </c>
      <c r="C1566" s="514">
        <v>0</v>
      </c>
      <c r="D1566" s="514">
        <v>0</v>
      </c>
      <c r="E1566" s="514">
        <v>0</v>
      </c>
      <c r="F1566" s="514">
        <v>0</v>
      </c>
      <c r="G1566" s="514">
        <v>0</v>
      </c>
      <c r="H1566" s="514">
        <v>0</v>
      </c>
      <c r="I1566" s="514">
        <v>0</v>
      </c>
      <c r="J1566" s="514">
        <v>0</v>
      </c>
      <c r="K1566" s="514">
        <v>0</v>
      </c>
      <c r="L1566" s="514">
        <v>0</v>
      </c>
      <c r="M1566" s="514">
        <v>0</v>
      </c>
      <c r="N1566" s="514">
        <v>0</v>
      </c>
      <c r="O1566" s="499"/>
      <c r="P1566" s="499"/>
      <c r="Q1566" s="499"/>
    </row>
    <row r="1567" spans="1:17" ht="14.4" x14ac:dyDescent="0.3">
      <c r="A1567" s="502">
        <v>4810052</v>
      </c>
      <c r="B1567" s="503" t="s">
        <v>3190</v>
      </c>
      <c r="C1567" s="514">
        <v>0</v>
      </c>
      <c r="D1567" s="514">
        <v>0</v>
      </c>
      <c r="E1567" s="514">
        <v>0</v>
      </c>
      <c r="F1567" s="514">
        <v>0</v>
      </c>
      <c r="G1567" s="514">
        <v>0</v>
      </c>
      <c r="H1567" s="514">
        <v>0</v>
      </c>
      <c r="I1567" s="514">
        <v>0</v>
      </c>
      <c r="J1567" s="514">
        <v>0</v>
      </c>
      <c r="K1567" s="514">
        <v>0</v>
      </c>
      <c r="L1567" s="514">
        <v>0</v>
      </c>
      <c r="M1567" s="514">
        <v>0</v>
      </c>
      <c r="N1567" s="514">
        <v>0</v>
      </c>
      <c r="O1567" s="499"/>
      <c r="P1567" s="499"/>
      <c r="Q1567" s="499"/>
    </row>
    <row r="1568" spans="1:17" ht="14.4" x14ac:dyDescent="0.3">
      <c r="A1568" s="502">
        <v>4810053</v>
      </c>
      <c r="B1568" s="503" t="s">
        <v>3191</v>
      </c>
      <c r="C1568" s="514">
        <v>0</v>
      </c>
      <c r="D1568" s="514">
        <v>0</v>
      </c>
      <c r="E1568" s="514">
        <v>0</v>
      </c>
      <c r="F1568" s="514">
        <v>0</v>
      </c>
      <c r="G1568" s="514">
        <v>0</v>
      </c>
      <c r="H1568" s="514">
        <v>0</v>
      </c>
      <c r="I1568" s="514">
        <v>0</v>
      </c>
      <c r="J1568" s="514">
        <v>0</v>
      </c>
      <c r="K1568" s="514">
        <v>0</v>
      </c>
      <c r="L1568" s="514">
        <v>0</v>
      </c>
      <c r="M1568" s="514">
        <v>0</v>
      </c>
      <c r="N1568" s="514">
        <v>0</v>
      </c>
      <c r="O1568" s="499"/>
      <c r="P1568" s="499"/>
      <c r="Q1568" s="499"/>
    </row>
    <row r="1569" spans="1:17" ht="14.4" x14ac:dyDescent="0.3">
      <c r="A1569" s="502">
        <v>4810054</v>
      </c>
      <c r="B1569" s="503" t="s">
        <v>3192</v>
      </c>
      <c r="C1569" s="514">
        <v>0</v>
      </c>
      <c r="D1569" s="514">
        <v>0</v>
      </c>
      <c r="E1569" s="514">
        <v>0</v>
      </c>
      <c r="F1569" s="514">
        <v>0</v>
      </c>
      <c r="G1569" s="514">
        <v>0</v>
      </c>
      <c r="H1569" s="514">
        <v>0</v>
      </c>
      <c r="I1569" s="514">
        <v>0</v>
      </c>
      <c r="J1569" s="514">
        <v>0</v>
      </c>
      <c r="K1569" s="514">
        <v>0</v>
      </c>
      <c r="L1569" s="514">
        <v>0</v>
      </c>
      <c r="M1569" s="514">
        <v>0</v>
      </c>
      <c r="N1569" s="514">
        <v>0</v>
      </c>
      <c r="O1569" s="499"/>
      <c r="P1569" s="499"/>
      <c r="Q1569" s="499"/>
    </row>
    <row r="1570" spans="1:17" ht="14.4" x14ac:dyDescent="0.3">
      <c r="A1570" s="502">
        <v>4810055</v>
      </c>
      <c r="B1570" s="503" t="s">
        <v>3193</v>
      </c>
      <c r="C1570" s="514">
        <v>0</v>
      </c>
      <c r="D1570" s="514">
        <v>0</v>
      </c>
      <c r="E1570" s="514">
        <v>0</v>
      </c>
      <c r="F1570" s="514">
        <v>0</v>
      </c>
      <c r="G1570" s="514">
        <v>0</v>
      </c>
      <c r="H1570" s="514">
        <v>0</v>
      </c>
      <c r="I1570" s="514">
        <v>0</v>
      </c>
      <c r="J1570" s="514">
        <v>0</v>
      </c>
      <c r="K1570" s="514">
        <v>0</v>
      </c>
      <c r="L1570" s="514">
        <v>0</v>
      </c>
      <c r="M1570" s="514">
        <v>0</v>
      </c>
      <c r="N1570" s="514">
        <v>0</v>
      </c>
      <c r="O1570" s="499"/>
      <c r="P1570" s="499"/>
      <c r="Q1570" s="499"/>
    </row>
    <row r="1571" spans="1:17" ht="14.4" x14ac:dyDescent="0.3">
      <c r="A1571" s="502">
        <v>4810056</v>
      </c>
      <c r="B1571" s="503" t="s">
        <v>3194</v>
      </c>
      <c r="C1571" s="514">
        <v>0</v>
      </c>
      <c r="D1571" s="514">
        <v>0</v>
      </c>
      <c r="E1571" s="514">
        <v>0</v>
      </c>
      <c r="F1571" s="514">
        <v>0</v>
      </c>
      <c r="G1571" s="514">
        <v>0</v>
      </c>
      <c r="H1571" s="514">
        <v>0</v>
      </c>
      <c r="I1571" s="514">
        <v>0</v>
      </c>
      <c r="J1571" s="514">
        <v>0</v>
      </c>
      <c r="K1571" s="514">
        <v>0</v>
      </c>
      <c r="L1571" s="514">
        <v>0</v>
      </c>
      <c r="M1571" s="514">
        <v>0</v>
      </c>
      <c r="N1571" s="514">
        <v>0</v>
      </c>
      <c r="O1571" s="499"/>
      <c r="P1571" s="499"/>
      <c r="Q1571" s="499"/>
    </row>
    <row r="1572" spans="1:17" ht="14.4" x14ac:dyDescent="0.3">
      <c r="A1572" s="502">
        <v>4810057</v>
      </c>
      <c r="B1572" s="503" t="s">
        <v>3195</v>
      </c>
      <c r="C1572" s="514">
        <v>0</v>
      </c>
      <c r="D1572" s="514">
        <v>0</v>
      </c>
      <c r="E1572" s="514">
        <v>0</v>
      </c>
      <c r="F1572" s="514">
        <v>0</v>
      </c>
      <c r="G1572" s="514">
        <v>0</v>
      </c>
      <c r="H1572" s="514">
        <v>0</v>
      </c>
      <c r="I1572" s="514">
        <v>0</v>
      </c>
      <c r="J1572" s="514">
        <v>0</v>
      </c>
      <c r="K1572" s="514">
        <v>0</v>
      </c>
      <c r="L1572" s="514">
        <v>0</v>
      </c>
      <c r="M1572" s="514">
        <v>0</v>
      </c>
      <c r="N1572" s="514">
        <v>0</v>
      </c>
      <c r="O1572" s="499"/>
      <c r="P1572" s="499"/>
      <c r="Q1572" s="499"/>
    </row>
    <row r="1573" spans="1:17" ht="14.4" x14ac:dyDescent="0.3">
      <c r="A1573" s="502">
        <v>4810058</v>
      </c>
      <c r="B1573" s="503" t="s">
        <v>3196</v>
      </c>
      <c r="C1573" s="514">
        <v>0</v>
      </c>
      <c r="D1573" s="514">
        <v>0</v>
      </c>
      <c r="E1573" s="514">
        <v>0</v>
      </c>
      <c r="F1573" s="514">
        <v>0</v>
      </c>
      <c r="G1573" s="514">
        <v>0</v>
      </c>
      <c r="H1573" s="514">
        <v>0</v>
      </c>
      <c r="I1573" s="514">
        <v>0</v>
      </c>
      <c r="J1573" s="514">
        <v>0</v>
      </c>
      <c r="K1573" s="514">
        <v>0</v>
      </c>
      <c r="L1573" s="514">
        <v>0</v>
      </c>
      <c r="M1573" s="514">
        <v>0</v>
      </c>
      <c r="N1573" s="514">
        <v>0</v>
      </c>
      <c r="O1573" s="499"/>
      <c r="P1573" s="499"/>
      <c r="Q1573" s="499"/>
    </row>
    <row r="1574" spans="1:17" ht="14.4" x14ac:dyDescent="0.3">
      <c r="A1574" s="502">
        <v>4810059</v>
      </c>
      <c r="B1574" s="503" t="s">
        <v>3197</v>
      </c>
      <c r="C1574" s="514">
        <v>0</v>
      </c>
      <c r="D1574" s="514">
        <v>0</v>
      </c>
      <c r="E1574" s="514">
        <v>0</v>
      </c>
      <c r="F1574" s="514">
        <v>0</v>
      </c>
      <c r="G1574" s="514">
        <v>0</v>
      </c>
      <c r="H1574" s="514">
        <v>0</v>
      </c>
      <c r="I1574" s="514">
        <v>0</v>
      </c>
      <c r="J1574" s="514">
        <v>0</v>
      </c>
      <c r="K1574" s="514">
        <v>0</v>
      </c>
      <c r="L1574" s="514">
        <v>0</v>
      </c>
      <c r="M1574" s="514">
        <v>0</v>
      </c>
      <c r="N1574" s="514">
        <v>0</v>
      </c>
      <c r="O1574" s="499"/>
      <c r="P1574" s="499"/>
      <c r="Q1574" s="499"/>
    </row>
    <row r="1575" spans="1:17" ht="14.4" x14ac:dyDescent="0.3">
      <c r="A1575" s="502">
        <v>4810060</v>
      </c>
      <c r="B1575" s="503" t="s">
        <v>3198</v>
      </c>
      <c r="C1575" s="514">
        <v>0</v>
      </c>
      <c r="D1575" s="514">
        <v>0</v>
      </c>
      <c r="E1575" s="514">
        <v>0</v>
      </c>
      <c r="F1575" s="514">
        <v>0</v>
      </c>
      <c r="G1575" s="514">
        <v>0</v>
      </c>
      <c r="H1575" s="514">
        <v>0</v>
      </c>
      <c r="I1575" s="514">
        <v>0</v>
      </c>
      <c r="J1575" s="514">
        <v>0</v>
      </c>
      <c r="K1575" s="514">
        <v>0</v>
      </c>
      <c r="L1575" s="514">
        <v>0</v>
      </c>
      <c r="M1575" s="514">
        <v>0</v>
      </c>
      <c r="N1575" s="514">
        <v>0</v>
      </c>
      <c r="O1575" s="499"/>
      <c r="P1575" s="499"/>
      <c r="Q1575" s="499"/>
    </row>
    <row r="1576" spans="1:17" ht="14.4" x14ac:dyDescent="0.3">
      <c r="A1576" s="502">
        <v>4810061</v>
      </c>
      <c r="B1576" s="503" t="s">
        <v>3199</v>
      </c>
      <c r="C1576" s="514">
        <v>0</v>
      </c>
      <c r="D1576" s="514">
        <v>0</v>
      </c>
      <c r="E1576" s="514">
        <v>0</v>
      </c>
      <c r="F1576" s="514">
        <v>0</v>
      </c>
      <c r="G1576" s="514">
        <v>0</v>
      </c>
      <c r="H1576" s="514">
        <v>0</v>
      </c>
      <c r="I1576" s="514">
        <v>0</v>
      </c>
      <c r="J1576" s="514">
        <v>0</v>
      </c>
      <c r="K1576" s="514">
        <v>0</v>
      </c>
      <c r="L1576" s="514">
        <v>0</v>
      </c>
      <c r="M1576" s="514">
        <v>0</v>
      </c>
      <c r="N1576" s="514">
        <v>0</v>
      </c>
      <c r="O1576" s="499"/>
      <c r="P1576" s="499"/>
      <c r="Q1576" s="499"/>
    </row>
    <row r="1577" spans="1:17" ht="14.4" x14ac:dyDescent="0.3">
      <c r="A1577" s="502">
        <v>4810070</v>
      </c>
      <c r="B1577" s="503" t="s">
        <v>3200</v>
      </c>
      <c r="C1577" s="514">
        <v>0</v>
      </c>
      <c r="D1577" s="514">
        <v>0</v>
      </c>
      <c r="E1577" s="514">
        <v>0</v>
      </c>
      <c r="F1577" s="514">
        <v>0</v>
      </c>
      <c r="G1577" s="514">
        <v>0</v>
      </c>
      <c r="H1577" s="514">
        <v>0</v>
      </c>
      <c r="I1577" s="514">
        <v>0</v>
      </c>
      <c r="J1577" s="514">
        <v>0</v>
      </c>
      <c r="K1577" s="514">
        <v>0</v>
      </c>
      <c r="L1577" s="514">
        <v>0</v>
      </c>
      <c r="M1577" s="514">
        <v>0</v>
      </c>
      <c r="N1577" s="514">
        <v>0</v>
      </c>
      <c r="O1577" s="499"/>
      <c r="P1577" s="499"/>
      <c r="Q1577" s="499"/>
    </row>
    <row r="1578" spans="1:17" ht="14.4" x14ac:dyDescent="0.3">
      <c r="A1578" s="502">
        <v>4810071</v>
      </c>
      <c r="B1578" s="503" t="s">
        <v>3201</v>
      </c>
      <c r="C1578" s="514">
        <v>0</v>
      </c>
      <c r="D1578" s="514">
        <v>0</v>
      </c>
      <c r="E1578" s="514">
        <v>0</v>
      </c>
      <c r="F1578" s="514">
        <v>0</v>
      </c>
      <c r="G1578" s="514">
        <v>0</v>
      </c>
      <c r="H1578" s="514">
        <v>0</v>
      </c>
      <c r="I1578" s="514">
        <v>0</v>
      </c>
      <c r="J1578" s="514">
        <v>0</v>
      </c>
      <c r="K1578" s="514">
        <v>0</v>
      </c>
      <c r="L1578" s="514">
        <v>0</v>
      </c>
      <c r="M1578" s="514">
        <v>0</v>
      </c>
      <c r="N1578" s="514">
        <v>0</v>
      </c>
      <c r="O1578" s="499"/>
      <c r="P1578" s="499"/>
      <c r="Q1578" s="499"/>
    </row>
    <row r="1579" spans="1:17" ht="14.4" x14ac:dyDescent="0.3">
      <c r="A1579" s="502">
        <v>4810080</v>
      </c>
      <c r="B1579" s="503" t="s">
        <v>3202</v>
      </c>
      <c r="C1579" s="514">
        <v>0</v>
      </c>
      <c r="D1579" s="514">
        <v>0</v>
      </c>
      <c r="E1579" s="514">
        <v>0</v>
      </c>
      <c r="F1579" s="514">
        <v>0</v>
      </c>
      <c r="G1579" s="514">
        <v>0</v>
      </c>
      <c r="H1579" s="514">
        <v>0</v>
      </c>
      <c r="I1579" s="514">
        <v>0</v>
      </c>
      <c r="J1579" s="514">
        <v>0</v>
      </c>
      <c r="K1579" s="514">
        <v>0</v>
      </c>
      <c r="L1579" s="514">
        <v>0</v>
      </c>
      <c r="M1579" s="514">
        <v>0</v>
      </c>
      <c r="N1579" s="514">
        <v>0</v>
      </c>
      <c r="O1579" s="499"/>
      <c r="P1579" s="499"/>
      <c r="Q1579" s="499"/>
    </row>
    <row r="1580" spans="1:17" ht="14.4" x14ac:dyDescent="0.3">
      <c r="A1580" s="502">
        <v>4810081</v>
      </c>
      <c r="B1580" s="503" t="s">
        <v>3203</v>
      </c>
      <c r="C1580" s="514">
        <v>0</v>
      </c>
      <c r="D1580" s="514">
        <v>0</v>
      </c>
      <c r="E1580" s="514">
        <v>0</v>
      </c>
      <c r="F1580" s="514">
        <v>0</v>
      </c>
      <c r="G1580" s="514">
        <v>0</v>
      </c>
      <c r="H1580" s="514">
        <v>0</v>
      </c>
      <c r="I1580" s="514">
        <v>0</v>
      </c>
      <c r="J1580" s="514">
        <v>0</v>
      </c>
      <c r="K1580" s="514">
        <v>0</v>
      </c>
      <c r="L1580" s="514">
        <v>0</v>
      </c>
      <c r="M1580" s="514">
        <v>0</v>
      </c>
      <c r="N1580" s="514">
        <v>0</v>
      </c>
      <c r="O1580" s="499"/>
      <c r="P1580" s="499"/>
      <c r="Q1580" s="499"/>
    </row>
    <row r="1581" spans="1:17" ht="14.4" x14ac:dyDescent="0.3">
      <c r="A1581" s="502">
        <v>4810090</v>
      </c>
      <c r="B1581" s="503" t="s">
        <v>3204</v>
      </c>
      <c r="C1581" s="514">
        <v>0</v>
      </c>
      <c r="D1581" s="514">
        <v>0</v>
      </c>
      <c r="E1581" s="514">
        <v>0</v>
      </c>
      <c r="F1581" s="514">
        <v>0</v>
      </c>
      <c r="G1581" s="514">
        <v>0</v>
      </c>
      <c r="H1581" s="514">
        <v>0</v>
      </c>
      <c r="I1581" s="514">
        <v>0</v>
      </c>
      <c r="J1581" s="514">
        <v>0</v>
      </c>
      <c r="K1581" s="514">
        <v>0</v>
      </c>
      <c r="L1581" s="514">
        <v>0</v>
      </c>
      <c r="M1581" s="514">
        <v>0</v>
      </c>
      <c r="N1581" s="514">
        <v>0</v>
      </c>
      <c r="O1581" s="499"/>
      <c r="P1581" s="499"/>
      <c r="Q1581" s="499"/>
    </row>
    <row r="1582" spans="1:17" ht="14.4" x14ac:dyDescent="0.3">
      <c r="A1582" s="502">
        <v>4810091</v>
      </c>
      <c r="B1582" s="503" t="s">
        <v>3205</v>
      </c>
      <c r="C1582" s="514">
        <v>0</v>
      </c>
      <c r="D1582" s="514">
        <v>0</v>
      </c>
      <c r="E1582" s="514">
        <v>0</v>
      </c>
      <c r="F1582" s="514">
        <v>0</v>
      </c>
      <c r="G1582" s="514">
        <v>0</v>
      </c>
      <c r="H1582" s="514">
        <v>0</v>
      </c>
      <c r="I1582" s="514">
        <v>0</v>
      </c>
      <c r="J1582" s="514">
        <v>0</v>
      </c>
      <c r="K1582" s="514">
        <v>0</v>
      </c>
      <c r="L1582" s="514">
        <v>0</v>
      </c>
      <c r="M1582" s="514">
        <v>0</v>
      </c>
      <c r="N1582" s="514">
        <v>0</v>
      </c>
      <c r="O1582" s="499"/>
      <c r="P1582" s="499"/>
      <c r="Q1582" s="499"/>
    </row>
    <row r="1583" spans="1:17" ht="14.4" x14ac:dyDescent="0.3">
      <c r="A1583" s="502">
        <v>4810110</v>
      </c>
      <c r="B1583" s="503" t="s">
        <v>3206</v>
      </c>
      <c r="C1583" s="514">
        <v>0</v>
      </c>
      <c r="D1583" s="514">
        <v>0</v>
      </c>
      <c r="E1583" s="514">
        <v>0</v>
      </c>
      <c r="F1583" s="514">
        <v>0</v>
      </c>
      <c r="G1583" s="514">
        <v>0</v>
      </c>
      <c r="H1583" s="514">
        <v>0</v>
      </c>
      <c r="I1583" s="514">
        <v>0</v>
      </c>
      <c r="J1583" s="514">
        <v>0</v>
      </c>
      <c r="K1583" s="514">
        <v>0</v>
      </c>
      <c r="L1583" s="514">
        <v>0</v>
      </c>
      <c r="M1583" s="514">
        <v>0</v>
      </c>
      <c r="N1583" s="514">
        <v>0</v>
      </c>
      <c r="O1583" s="499"/>
      <c r="P1583" s="499"/>
      <c r="Q1583" s="499"/>
    </row>
    <row r="1584" spans="1:17" ht="14.4" x14ac:dyDescent="0.3">
      <c r="A1584" s="502">
        <v>4810111</v>
      </c>
      <c r="B1584" s="503" t="s">
        <v>3207</v>
      </c>
      <c r="C1584" s="514">
        <v>0</v>
      </c>
      <c r="D1584" s="514">
        <v>0</v>
      </c>
      <c r="E1584" s="514">
        <v>0</v>
      </c>
      <c r="F1584" s="514">
        <v>0</v>
      </c>
      <c r="G1584" s="514">
        <v>0</v>
      </c>
      <c r="H1584" s="514">
        <v>0</v>
      </c>
      <c r="I1584" s="514">
        <v>0</v>
      </c>
      <c r="J1584" s="514">
        <v>0</v>
      </c>
      <c r="K1584" s="514">
        <v>0</v>
      </c>
      <c r="L1584" s="514">
        <v>0</v>
      </c>
      <c r="M1584" s="514">
        <v>0</v>
      </c>
      <c r="N1584" s="514">
        <v>0</v>
      </c>
      <c r="O1584" s="499"/>
      <c r="P1584" s="499"/>
      <c r="Q1584" s="499"/>
    </row>
    <row r="1585" spans="1:17" ht="14.4" x14ac:dyDescent="0.3">
      <c r="A1585" s="502">
        <v>4810112</v>
      </c>
      <c r="B1585" s="503" t="s">
        <v>3208</v>
      </c>
      <c r="C1585" s="514">
        <v>0</v>
      </c>
      <c r="D1585" s="514">
        <v>0</v>
      </c>
      <c r="E1585" s="514">
        <v>0</v>
      </c>
      <c r="F1585" s="514">
        <v>0</v>
      </c>
      <c r="G1585" s="514">
        <v>0</v>
      </c>
      <c r="H1585" s="514">
        <v>0</v>
      </c>
      <c r="I1585" s="514">
        <v>0</v>
      </c>
      <c r="J1585" s="514">
        <v>0</v>
      </c>
      <c r="K1585" s="514">
        <v>0</v>
      </c>
      <c r="L1585" s="514">
        <v>0</v>
      </c>
      <c r="M1585" s="514">
        <v>0</v>
      </c>
      <c r="N1585" s="514">
        <v>0</v>
      </c>
      <c r="O1585" s="499"/>
      <c r="P1585" s="499"/>
      <c r="Q1585" s="499"/>
    </row>
    <row r="1586" spans="1:17" ht="14.4" x14ac:dyDescent="0.3">
      <c r="A1586" s="502">
        <v>4810120</v>
      </c>
      <c r="B1586" s="503" t="s">
        <v>3209</v>
      </c>
      <c r="C1586" s="514">
        <v>0</v>
      </c>
      <c r="D1586" s="514">
        <v>0</v>
      </c>
      <c r="E1586" s="514">
        <v>0</v>
      </c>
      <c r="F1586" s="514">
        <v>0</v>
      </c>
      <c r="G1586" s="514">
        <v>0</v>
      </c>
      <c r="H1586" s="514">
        <v>0</v>
      </c>
      <c r="I1586" s="514">
        <v>0</v>
      </c>
      <c r="J1586" s="514">
        <v>0</v>
      </c>
      <c r="K1586" s="514">
        <v>0</v>
      </c>
      <c r="L1586" s="514">
        <v>0</v>
      </c>
      <c r="M1586" s="514">
        <v>0</v>
      </c>
      <c r="N1586" s="514">
        <v>0</v>
      </c>
      <c r="O1586" s="499"/>
      <c r="P1586" s="499"/>
      <c r="Q1586" s="499"/>
    </row>
    <row r="1587" spans="1:17" ht="14.4" x14ac:dyDescent="0.3">
      <c r="A1587" s="502">
        <v>4810121</v>
      </c>
      <c r="B1587" s="503" t="s">
        <v>3210</v>
      </c>
      <c r="C1587" s="514">
        <v>0</v>
      </c>
      <c r="D1587" s="514">
        <v>0</v>
      </c>
      <c r="E1587" s="514">
        <v>0</v>
      </c>
      <c r="F1587" s="514">
        <v>0</v>
      </c>
      <c r="G1587" s="514">
        <v>0</v>
      </c>
      <c r="H1587" s="514">
        <v>0</v>
      </c>
      <c r="I1587" s="514">
        <v>0</v>
      </c>
      <c r="J1587" s="514">
        <v>0</v>
      </c>
      <c r="K1587" s="514">
        <v>0</v>
      </c>
      <c r="L1587" s="514">
        <v>0</v>
      </c>
      <c r="M1587" s="514">
        <v>0</v>
      </c>
      <c r="N1587" s="514">
        <v>0</v>
      </c>
      <c r="O1587" s="499"/>
      <c r="P1587" s="499"/>
      <c r="Q1587" s="499"/>
    </row>
    <row r="1588" spans="1:17" ht="14.4" x14ac:dyDescent="0.3">
      <c r="A1588" s="502">
        <v>4810122</v>
      </c>
      <c r="B1588" s="503" t="s">
        <v>3211</v>
      </c>
      <c r="C1588" s="514">
        <v>0</v>
      </c>
      <c r="D1588" s="514">
        <v>0</v>
      </c>
      <c r="E1588" s="514">
        <v>0</v>
      </c>
      <c r="F1588" s="514">
        <v>0</v>
      </c>
      <c r="G1588" s="514">
        <v>0</v>
      </c>
      <c r="H1588" s="514">
        <v>0</v>
      </c>
      <c r="I1588" s="514">
        <v>0</v>
      </c>
      <c r="J1588" s="514">
        <v>0</v>
      </c>
      <c r="K1588" s="514">
        <v>0</v>
      </c>
      <c r="L1588" s="514">
        <v>0</v>
      </c>
      <c r="M1588" s="514">
        <v>0</v>
      </c>
      <c r="N1588" s="514">
        <v>0</v>
      </c>
      <c r="O1588" s="499"/>
      <c r="P1588" s="499"/>
      <c r="Q1588" s="499"/>
    </row>
    <row r="1589" spans="1:17" ht="14.4" x14ac:dyDescent="0.3">
      <c r="A1589" s="502">
        <v>4810140</v>
      </c>
      <c r="B1589" s="503" t="s">
        <v>3212</v>
      </c>
      <c r="C1589" s="514">
        <v>0</v>
      </c>
      <c r="D1589" s="514">
        <v>0</v>
      </c>
      <c r="E1589" s="514">
        <v>0</v>
      </c>
      <c r="F1589" s="514">
        <v>0</v>
      </c>
      <c r="G1589" s="514">
        <v>0</v>
      </c>
      <c r="H1589" s="514">
        <v>0</v>
      </c>
      <c r="I1589" s="514">
        <v>0</v>
      </c>
      <c r="J1589" s="514">
        <v>0</v>
      </c>
      <c r="K1589" s="514">
        <v>0</v>
      </c>
      <c r="L1589" s="514">
        <v>0</v>
      </c>
      <c r="M1589" s="514">
        <v>0</v>
      </c>
      <c r="N1589" s="514">
        <v>0</v>
      </c>
      <c r="O1589" s="499"/>
      <c r="P1589" s="499"/>
      <c r="Q1589" s="499"/>
    </row>
    <row r="1590" spans="1:17" ht="14.4" x14ac:dyDescent="0.3">
      <c r="A1590" s="502">
        <v>4810182</v>
      </c>
      <c r="B1590" s="503" t="s">
        <v>3213</v>
      </c>
      <c r="C1590" s="514">
        <v>0</v>
      </c>
      <c r="D1590" s="514">
        <v>0</v>
      </c>
      <c r="E1590" s="514">
        <v>0</v>
      </c>
      <c r="F1590" s="514">
        <v>0</v>
      </c>
      <c r="G1590" s="514">
        <v>0</v>
      </c>
      <c r="H1590" s="514">
        <v>0</v>
      </c>
      <c r="I1590" s="514">
        <v>0</v>
      </c>
      <c r="J1590" s="514">
        <v>0</v>
      </c>
      <c r="K1590" s="514">
        <v>0</v>
      </c>
      <c r="L1590" s="514">
        <v>0</v>
      </c>
      <c r="M1590" s="514">
        <v>0</v>
      </c>
      <c r="N1590" s="514">
        <v>0</v>
      </c>
      <c r="O1590" s="499"/>
      <c r="P1590" s="499"/>
      <c r="Q1590" s="499"/>
    </row>
    <row r="1591" spans="1:17" ht="14.4" x14ac:dyDescent="0.3">
      <c r="A1591" s="502">
        <v>4810210</v>
      </c>
      <c r="B1591" s="503" t="s">
        <v>3214</v>
      </c>
      <c r="C1591" s="514">
        <v>0</v>
      </c>
      <c r="D1591" s="514">
        <v>0</v>
      </c>
      <c r="E1591" s="514">
        <v>0</v>
      </c>
      <c r="F1591" s="514">
        <v>0</v>
      </c>
      <c r="G1591" s="514">
        <v>0</v>
      </c>
      <c r="H1591" s="514">
        <v>0</v>
      </c>
      <c r="I1591" s="514">
        <v>0</v>
      </c>
      <c r="J1591" s="514">
        <v>0</v>
      </c>
      <c r="K1591" s="514">
        <v>0</v>
      </c>
      <c r="L1591" s="514">
        <v>0</v>
      </c>
      <c r="M1591" s="514">
        <v>0</v>
      </c>
      <c r="N1591" s="514">
        <v>0</v>
      </c>
      <c r="O1591" s="499"/>
      <c r="P1591" s="499"/>
      <c r="Q1591" s="499"/>
    </row>
    <row r="1592" spans="1:17" ht="14.4" x14ac:dyDescent="0.3">
      <c r="A1592" s="502">
        <v>4810220</v>
      </c>
      <c r="B1592" s="503" t="s">
        <v>3215</v>
      </c>
      <c r="C1592" s="514">
        <v>0</v>
      </c>
      <c r="D1592" s="514">
        <v>0</v>
      </c>
      <c r="E1592" s="514">
        <v>0</v>
      </c>
      <c r="F1592" s="514">
        <v>0</v>
      </c>
      <c r="G1592" s="514">
        <v>0</v>
      </c>
      <c r="H1592" s="514">
        <v>0</v>
      </c>
      <c r="I1592" s="514">
        <v>0</v>
      </c>
      <c r="J1592" s="514">
        <v>0</v>
      </c>
      <c r="K1592" s="514">
        <v>0</v>
      </c>
      <c r="L1592" s="514">
        <v>0</v>
      </c>
      <c r="M1592" s="514">
        <v>0</v>
      </c>
      <c r="N1592" s="514">
        <v>0</v>
      </c>
      <c r="O1592" s="499"/>
      <c r="P1592" s="499"/>
      <c r="Q1592" s="499"/>
    </row>
    <row r="1593" spans="1:17" ht="14.4" x14ac:dyDescent="0.3">
      <c r="A1593" s="502">
        <v>4810240</v>
      </c>
      <c r="B1593" s="503" t="s">
        <v>3216</v>
      </c>
      <c r="C1593" s="514">
        <v>0</v>
      </c>
      <c r="D1593" s="514">
        <v>0</v>
      </c>
      <c r="E1593" s="514">
        <v>0</v>
      </c>
      <c r="F1593" s="514">
        <v>0</v>
      </c>
      <c r="G1593" s="514">
        <v>0</v>
      </c>
      <c r="H1593" s="514">
        <v>0</v>
      </c>
      <c r="I1593" s="514">
        <v>0</v>
      </c>
      <c r="J1593" s="514">
        <v>0</v>
      </c>
      <c r="K1593" s="514">
        <v>0</v>
      </c>
      <c r="L1593" s="514">
        <v>0</v>
      </c>
      <c r="M1593" s="514">
        <v>0</v>
      </c>
      <c r="N1593" s="514">
        <v>0</v>
      </c>
      <c r="O1593" s="499"/>
      <c r="P1593" s="499"/>
      <c r="Q1593" s="499"/>
    </row>
    <row r="1594" spans="1:17" ht="14.4" x14ac:dyDescent="0.3">
      <c r="A1594" s="502">
        <v>4810282</v>
      </c>
      <c r="B1594" s="503" t="s">
        <v>3217</v>
      </c>
      <c r="C1594" s="514">
        <v>0</v>
      </c>
      <c r="D1594" s="514">
        <v>0</v>
      </c>
      <c r="E1594" s="514">
        <v>0</v>
      </c>
      <c r="F1594" s="514">
        <v>0</v>
      </c>
      <c r="G1594" s="514">
        <v>0</v>
      </c>
      <c r="H1594" s="514">
        <v>0</v>
      </c>
      <c r="I1594" s="514">
        <v>0</v>
      </c>
      <c r="J1594" s="514">
        <v>0</v>
      </c>
      <c r="K1594" s="514">
        <v>0</v>
      </c>
      <c r="L1594" s="514">
        <v>0</v>
      </c>
      <c r="M1594" s="514">
        <v>0</v>
      </c>
      <c r="N1594" s="514">
        <v>0</v>
      </c>
      <c r="O1594" s="499"/>
      <c r="P1594" s="499"/>
      <c r="Q1594" s="499"/>
    </row>
    <row r="1595" spans="1:17" ht="14.4" x14ac:dyDescent="0.3">
      <c r="A1595" s="502">
        <v>4810500</v>
      </c>
      <c r="B1595" s="503" t="s">
        <v>3218</v>
      </c>
      <c r="C1595" s="514">
        <v>0</v>
      </c>
      <c r="D1595" s="514">
        <v>0</v>
      </c>
      <c r="E1595" s="514">
        <v>0</v>
      </c>
      <c r="F1595" s="514">
        <v>0</v>
      </c>
      <c r="G1595" s="514">
        <v>0</v>
      </c>
      <c r="H1595" s="514">
        <v>0</v>
      </c>
      <c r="I1595" s="514">
        <v>0</v>
      </c>
      <c r="J1595" s="514">
        <v>0</v>
      </c>
      <c r="K1595" s="514">
        <v>0</v>
      </c>
      <c r="L1595" s="514">
        <v>0</v>
      </c>
      <c r="M1595" s="514">
        <v>0</v>
      </c>
      <c r="N1595" s="514">
        <v>0</v>
      </c>
      <c r="O1595" s="499"/>
      <c r="P1595" s="499"/>
      <c r="Q1595" s="499"/>
    </row>
    <row r="1596" spans="1:17" ht="14.4" x14ac:dyDescent="0.3">
      <c r="A1596" s="502">
        <v>4810501</v>
      </c>
      <c r="B1596" s="503" t="s">
        <v>3219</v>
      </c>
      <c r="C1596" s="514">
        <v>0</v>
      </c>
      <c r="D1596" s="514">
        <v>0</v>
      </c>
      <c r="E1596" s="514">
        <v>0</v>
      </c>
      <c r="F1596" s="514">
        <v>0</v>
      </c>
      <c r="G1596" s="514">
        <v>0</v>
      </c>
      <c r="H1596" s="514">
        <v>0</v>
      </c>
      <c r="I1596" s="514">
        <v>0</v>
      </c>
      <c r="J1596" s="514">
        <v>0</v>
      </c>
      <c r="K1596" s="514">
        <v>0</v>
      </c>
      <c r="L1596" s="514">
        <v>0</v>
      </c>
      <c r="M1596" s="514">
        <v>0</v>
      </c>
      <c r="N1596" s="514">
        <v>0</v>
      </c>
      <c r="O1596" s="499"/>
      <c r="P1596" s="499"/>
      <c r="Q1596" s="499"/>
    </row>
    <row r="1597" spans="1:17" ht="14.4" x14ac:dyDescent="0.3">
      <c r="A1597" s="502">
        <v>4810502</v>
      </c>
      <c r="B1597" s="503" t="s">
        <v>3220</v>
      </c>
      <c r="C1597" s="514">
        <v>0</v>
      </c>
      <c r="D1597" s="514">
        <v>0</v>
      </c>
      <c r="E1597" s="514">
        <v>0</v>
      </c>
      <c r="F1597" s="514">
        <v>0</v>
      </c>
      <c r="G1597" s="514">
        <v>0</v>
      </c>
      <c r="H1597" s="514">
        <v>0</v>
      </c>
      <c r="I1597" s="514">
        <v>0</v>
      </c>
      <c r="J1597" s="514">
        <v>0</v>
      </c>
      <c r="K1597" s="514">
        <v>0</v>
      </c>
      <c r="L1597" s="514">
        <v>0</v>
      </c>
      <c r="M1597" s="514">
        <v>0</v>
      </c>
      <c r="N1597" s="514">
        <v>0</v>
      </c>
      <c r="O1597" s="499"/>
      <c r="P1597" s="499"/>
      <c r="Q1597" s="499"/>
    </row>
    <row r="1598" spans="1:17" ht="14.4" x14ac:dyDescent="0.3">
      <c r="A1598" s="502">
        <v>4810600</v>
      </c>
      <c r="B1598" s="503" t="s">
        <v>3221</v>
      </c>
      <c r="C1598" s="514">
        <v>0</v>
      </c>
      <c r="D1598" s="514">
        <v>0</v>
      </c>
      <c r="E1598" s="514">
        <v>0</v>
      </c>
      <c r="F1598" s="514">
        <v>0</v>
      </c>
      <c r="G1598" s="514">
        <v>0</v>
      </c>
      <c r="H1598" s="514">
        <v>0</v>
      </c>
      <c r="I1598" s="514">
        <v>0</v>
      </c>
      <c r="J1598" s="514">
        <v>0</v>
      </c>
      <c r="K1598" s="514">
        <v>0</v>
      </c>
      <c r="L1598" s="514">
        <v>0</v>
      </c>
      <c r="M1598" s="514">
        <v>0</v>
      </c>
      <c r="N1598" s="514">
        <v>0</v>
      </c>
      <c r="O1598" s="499"/>
      <c r="P1598" s="499"/>
      <c r="Q1598" s="499"/>
    </row>
    <row r="1599" spans="1:17" ht="14.4" x14ac:dyDescent="0.3">
      <c r="A1599" s="502">
        <v>4810601</v>
      </c>
      <c r="B1599" s="503" t="s">
        <v>3222</v>
      </c>
      <c r="C1599" s="514">
        <v>0</v>
      </c>
      <c r="D1599" s="514">
        <v>0</v>
      </c>
      <c r="E1599" s="514">
        <v>0</v>
      </c>
      <c r="F1599" s="514">
        <v>0</v>
      </c>
      <c r="G1599" s="514">
        <v>0</v>
      </c>
      <c r="H1599" s="514">
        <v>0</v>
      </c>
      <c r="I1599" s="514">
        <v>0</v>
      </c>
      <c r="J1599" s="514">
        <v>0</v>
      </c>
      <c r="K1599" s="514">
        <v>0</v>
      </c>
      <c r="L1599" s="514">
        <v>0</v>
      </c>
      <c r="M1599" s="514">
        <v>0</v>
      </c>
      <c r="N1599" s="514">
        <v>0</v>
      </c>
      <c r="O1599" s="499"/>
      <c r="P1599" s="499"/>
      <c r="Q1599" s="499"/>
    </row>
    <row r="1600" spans="1:17" ht="14.4" x14ac:dyDescent="0.3">
      <c r="A1600" s="502">
        <v>4810602</v>
      </c>
      <c r="B1600" s="503" t="s">
        <v>3223</v>
      </c>
      <c r="C1600" s="514">
        <v>0</v>
      </c>
      <c r="D1600" s="514">
        <v>0</v>
      </c>
      <c r="E1600" s="514">
        <v>0</v>
      </c>
      <c r="F1600" s="514">
        <v>0</v>
      </c>
      <c r="G1600" s="514">
        <v>0</v>
      </c>
      <c r="H1600" s="514">
        <v>0</v>
      </c>
      <c r="I1600" s="514">
        <v>0</v>
      </c>
      <c r="J1600" s="514">
        <v>0</v>
      </c>
      <c r="K1600" s="514">
        <v>0</v>
      </c>
      <c r="L1600" s="514">
        <v>0</v>
      </c>
      <c r="M1600" s="514">
        <v>0</v>
      </c>
      <c r="N1600" s="514">
        <v>0</v>
      </c>
      <c r="O1600" s="499"/>
      <c r="P1600" s="499"/>
      <c r="Q1600" s="499"/>
    </row>
    <row r="1601" spans="1:17" ht="14.4" x14ac:dyDescent="0.3">
      <c r="A1601" s="502">
        <v>4810610</v>
      </c>
      <c r="B1601" s="503" t="s">
        <v>3224</v>
      </c>
      <c r="C1601" s="514">
        <v>0</v>
      </c>
      <c r="D1601" s="514">
        <v>0</v>
      </c>
      <c r="E1601" s="514">
        <v>0</v>
      </c>
      <c r="F1601" s="514">
        <v>0</v>
      </c>
      <c r="G1601" s="514">
        <v>0</v>
      </c>
      <c r="H1601" s="514">
        <v>0</v>
      </c>
      <c r="I1601" s="514">
        <v>0</v>
      </c>
      <c r="J1601" s="514">
        <v>0</v>
      </c>
      <c r="K1601" s="514">
        <v>0</v>
      </c>
      <c r="L1601" s="514">
        <v>0</v>
      </c>
      <c r="M1601" s="514">
        <v>0</v>
      </c>
      <c r="N1601" s="514">
        <v>0</v>
      </c>
      <c r="O1601" s="499"/>
      <c r="P1601" s="499"/>
      <c r="Q1601" s="499"/>
    </row>
    <row r="1602" spans="1:17" ht="14.4" x14ac:dyDescent="0.3">
      <c r="A1602" s="502">
        <v>4810611</v>
      </c>
      <c r="B1602" s="503" t="s">
        <v>3225</v>
      </c>
      <c r="C1602" s="514">
        <v>0</v>
      </c>
      <c r="D1602" s="514">
        <v>0</v>
      </c>
      <c r="E1602" s="514">
        <v>0</v>
      </c>
      <c r="F1602" s="514">
        <v>0</v>
      </c>
      <c r="G1602" s="514">
        <v>0</v>
      </c>
      <c r="H1602" s="514">
        <v>0</v>
      </c>
      <c r="I1602" s="514">
        <v>0</v>
      </c>
      <c r="J1602" s="514">
        <v>0</v>
      </c>
      <c r="K1602" s="514">
        <v>0</v>
      </c>
      <c r="L1602" s="514">
        <v>0</v>
      </c>
      <c r="M1602" s="514">
        <v>0</v>
      </c>
      <c r="N1602" s="514">
        <v>0</v>
      </c>
      <c r="O1602" s="499"/>
      <c r="P1602" s="499"/>
      <c r="Q1602" s="499"/>
    </row>
    <row r="1603" spans="1:17" ht="14.4" x14ac:dyDescent="0.3">
      <c r="A1603" s="502">
        <v>4810612</v>
      </c>
      <c r="B1603" s="503" t="s">
        <v>3226</v>
      </c>
      <c r="C1603" s="514">
        <v>0</v>
      </c>
      <c r="D1603" s="514">
        <v>0</v>
      </c>
      <c r="E1603" s="514">
        <v>0</v>
      </c>
      <c r="F1603" s="514">
        <v>0</v>
      </c>
      <c r="G1603" s="514">
        <v>0</v>
      </c>
      <c r="H1603" s="514">
        <v>0</v>
      </c>
      <c r="I1603" s="514">
        <v>0</v>
      </c>
      <c r="J1603" s="514">
        <v>0</v>
      </c>
      <c r="K1603" s="514">
        <v>0</v>
      </c>
      <c r="L1603" s="514">
        <v>0</v>
      </c>
      <c r="M1603" s="514">
        <v>0</v>
      </c>
      <c r="N1603" s="514">
        <v>0</v>
      </c>
      <c r="O1603" s="499"/>
      <c r="P1603" s="499"/>
      <c r="Q1603" s="499"/>
    </row>
    <row r="1604" spans="1:17" ht="14.4" x14ac:dyDescent="0.3">
      <c r="A1604" s="502">
        <v>4810700</v>
      </c>
      <c r="B1604" s="503" t="s">
        <v>3227</v>
      </c>
      <c r="C1604" s="514">
        <v>0</v>
      </c>
      <c r="D1604" s="514">
        <v>0</v>
      </c>
      <c r="E1604" s="514">
        <v>0</v>
      </c>
      <c r="F1604" s="514">
        <v>0</v>
      </c>
      <c r="G1604" s="514">
        <v>0</v>
      </c>
      <c r="H1604" s="514">
        <v>0</v>
      </c>
      <c r="I1604" s="514">
        <v>0</v>
      </c>
      <c r="J1604" s="514">
        <v>0</v>
      </c>
      <c r="K1604" s="514">
        <v>0</v>
      </c>
      <c r="L1604" s="514">
        <v>0</v>
      </c>
      <c r="M1604" s="514">
        <v>0</v>
      </c>
      <c r="N1604" s="514">
        <v>0</v>
      </c>
      <c r="O1604" s="499"/>
      <c r="P1604" s="499"/>
      <c r="Q1604" s="499"/>
    </row>
    <row r="1605" spans="1:17" ht="14.4" x14ac:dyDescent="0.3">
      <c r="A1605" s="502">
        <v>4820110</v>
      </c>
      <c r="B1605" s="503" t="s">
        <v>3228</v>
      </c>
      <c r="C1605" s="514">
        <v>0</v>
      </c>
      <c r="D1605" s="514">
        <v>0</v>
      </c>
      <c r="E1605" s="514">
        <v>0</v>
      </c>
      <c r="F1605" s="514">
        <v>0</v>
      </c>
      <c r="G1605" s="514">
        <v>0</v>
      </c>
      <c r="H1605" s="514">
        <v>0</v>
      </c>
      <c r="I1605" s="514">
        <v>0</v>
      </c>
      <c r="J1605" s="514">
        <v>0</v>
      </c>
      <c r="K1605" s="514">
        <v>0</v>
      </c>
      <c r="L1605" s="514">
        <v>0</v>
      </c>
      <c r="M1605" s="514">
        <v>0</v>
      </c>
      <c r="N1605" s="514">
        <v>0</v>
      </c>
      <c r="O1605" s="499"/>
      <c r="P1605" s="499"/>
      <c r="Q1605" s="499"/>
    </row>
    <row r="1606" spans="1:17" ht="14.4" x14ac:dyDescent="0.3">
      <c r="A1606" s="502">
        <v>4820111</v>
      </c>
      <c r="B1606" s="503" t="s">
        <v>3229</v>
      </c>
      <c r="C1606" s="514">
        <v>0</v>
      </c>
      <c r="D1606" s="514">
        <v>0</v>
      </c>
      <c r="E1606" s="514">
        <v>0</v>
      </c>
      <c r="F1606" s="514">
        <v>0</v>
      </c>
      <c r="G1606" s="514">
        <v>0</v>
      </c>
      <c r="H1606" s="514">
        <v>0</v>
      </c>
      <c r="I1606" s="514">
        <v>0</v>
      </c>
      <c r="J1606" s="514">
        <v>0</v>
      </c>
      <c r="K1606" s="514">
        <v>0</v>
      </c>
      <c r="L1606" s="514">
        <v>0</v>
      </c>
      <c r="M1606" s="514">
        <v>0</v>
      </c>
      <c r="N1606" s="514">
        <v>0</v>
      </c>
      <c r="O1606" s="499"/>
      <c r="P1606" s="499"/>
      <c r="Q1606" s="499"/>
    </row>
    <row r="1607" spans="1:17" ht="14.4" x14ac:dyDescent="0.3">
      <c r="A1607" s="502">
        <v>4820112</v>
      </c>
      <c r="B1607" s="503" t="s">
        <v>3230</v>
      </c>
      <c r="C1607" s="514">
        <v>0</v>
      </c>
      <c r="D1607" s="514">
        <v>0</v>
      </c>
      <c r="E1607" s="514">
        <v>0</v>
      </c>
      <c r="F1607" s="514">
        <v>0</v>
      </c>
      <c r="G1607" s="514">
        <v>0</v>
      </c>
      <c r="H1607" s="514">
        <v>0</v>
      </c>
      <c r="I1607" s="514">
        <v>0</v>
      </c>
      <c r="J1607" s="514">
        <v>0</v>
      </c>
      <c r="K1607" s="514">
        <v>0</v>
      </c>
      <c r="L1607" s="514">
        <v>0</v>
      </c>
      <c r="M1607" s="514">
        <v>0</v>
      </c>
      <c r="N1607" s="514">
        <v>0</v>
      </c>
      <c r="O1607" s="499"/>
      <c r="P1607" s="499"/>
      <c r="Q1607" s="499"/>
    </row>
    <row r="1608" spans="1:17" ht="14.4" x14ac:dyDescent="0.3">
      <c r="A1608" s="502">
        <v>4820120</v>
      </c>
      <c r="B1608" s="503" t="s">
        <v>3231</v>
      </c>
      <c r="C1608" s="514">
        <v>0</v>
      </c>
      <c r="D1608" s="514">
        <v>0</v>
      </c>
      <c r="E1608" s="514">
        <v>0</v>
      </c>
      <c r="F1608" s="514">
        <v>0</v>
      </c>
      <c r="G1608" s="514">
        <v>0</v>
      </c>
      <c r="H1608" s="514">
        <v>0</v>
      </c>
      <c r="I1608" s="514">
        <v>0</v>
      </c>
      <c r="J1608" s="514">
        <v>0</v>
      </c>
      <c r="K1608" s="514">
        <v>0</v>
      </c>
      <c r="L1608" s="514">
        <v>0</v>
      </c>
      <c r="M1608" s="514">
        <v>0</v>
      </c>
      <c r="N1608" s="514">
        <v>0</v>
      </c>
      <c r="O1608" s="499"/>
      <c r="P1608" s="499"/>
      <c r="Q1608" s="499"/>
    </row>
    <row r="1609" spans="1:17" ht="14.4" x14ac:dyDescent="0.3">
      <c r="A1609" s="502">
        <v>4820140</v>
      </c>
      <c r="B1609" s="503" t="s">
        <v>3232</v>
      </c>
      <c r="C1609" s="514">
        <v>0</v>
      </c>
      <c r="D1609" s="514">
        <v>0</v>
      </c>
      <c r="E1609" s="514">
        <v>0</v>
      </c>
      <c r="F1609" s="514">
        <v>0</v>
      </c>
      <c r="G1609" s="514">
        <v>0</v>
      </c>
      <c r="H1609" s="514">
        <v>0</v>
      </c>
      <c r="I1609" s="514">
        <v>0</v>
      </c>
      <c r="J1609" s="514">
        <v>0</v>
      </c>
      <c r="K1609" s="514">
        <v>0</v>
      </c>
      <c r="L1609" s="514">
        <v>0</v>
      </c>
      <c r="M1609" s="514">
        <v>0</v>
      </c>
      <c r="N1609" s="514">
        <v>0</v>
      </c>
      <c r="O1609" s="499"/>
      <c r="P1609" s="499"/>
      <c r="Q1609" s="499"/>
    </row>
    <row r="1610" spans="1:17" ht="14.4" x14ac:dyDescent="0.3">
      <c r="A1610" s="502">
        <v>4820182</v>
      </c>
      <c r="B1610" s="503" t="s">
        <v>3233</v>
      </c>
      <c r="C1610" s="514">
        <v>0</v>
      </c>
      <c r="D1610" s="514">
        <v>0</v>
      </c>
      <c r="E1610" s="514">
        <v>0</v>
      </c>
      <c r="F1610" s="514">
        <v>0</v>
      </c>
      <c r="G1610" s="514">
        <v>0</v>
      </c>
      <c r="H1610" s="514">
        <v>0</v>
      </c>
      <c r="I1610" s="514">
        <v>0</v>
      </c>
      <c r="J1610" s="514">
        <v>0</v>
      </c>
      <c r="K1610" s="514">
        <v>0</v>
      </c>
      <c r="L1610" s="514">
        <v>0</v>
      </c>
      <c r="M1610" s="514">
        <v>0</v>
      </c>
      <c r="N1610" s="514">
        <v>0</v>
      </c>
      <c r="O1610" s="499"/>
      <c r="P1610" s="499"/>
      <c r="Q1610" s="499"/>
    </row>
    <row r="1611" spans="1:17" ht="14.4" x14ac:dyDescent="0.3">
      <c r="A1611" s="502">
        <v>4830091</v>
      </c>
      <c r="B1611" s="503" t="s">
        <v>3234</v>
      </c>
      <c r="C1611" s="514">
        <v>0</v>
      </c>
      <c r="D1611" s="514">
        <v>0</v>
      </c>
      <c r="E1611" s="514">
        <v>0</v>
      </c>
      <c r="F1611" s="514">
        <v>0</v>
      </c>
      <c r="G1611" s="514">
        <v>0</v>
      </c>
      <c r="H1611" s="514">
        <v>0</v>
      </c>
      <c r="I1611" s="514">
        <v>0</v>
      </c>
      <c r="J1611" s="514">
        <v>0</v>
      </c>
      <c r="K1611" s="514">
        <v>0</v>
      </c>
      <c r="L1611" s="514">
        <v>0</v>
      </c>
      <c r="M1611" s="514">
        <v>0</v>
      </c>
      <c r="N1611" s="514">
        <v>0</v>
      </c>
      <c r="O1611" s="499"/>
      <c r="P1611" s="499"/>
      <c r="Q1611" s="499"/>
    </row>
    <row r="1612" spans="1:17" ht="14.4" x14ac:dyDescent="0.3">
      <c r="A1612" s="502">
        <v>4830092</v>
      </c>
      <c r="B1612" s="503" t="s">
        <v>3235</v>
      </c>
      <c r="C1612" s="514">
        <v>0</v>
      </c>
      <c r="D1612" s="514">
        <v>0</v>
      </c>
      <c r="E1612" s="514">
        <v>0</v>
      </c>
      <c r="F1612" s="514">
        <v>0</v>
      </c>
      <c r="G1612" s="514">
        <v>0</v>
      </c>
      <c r="H1612" s="514">
        <v>0</v>
      </c>
      <c r="I1612" s="514">
        <v>0</v>
      </c>
      <c r="J1612" s="514">
        <v>0</v>
      </c>
      <c r="K1612" s="514">
        <v>0</v>
      </c>
      <c r="L1612" s="514">
        <v>0</v>
      </c>
      <c r="M1612" s="514">
        <v>0</v>
      </c>
      <c r="N1612" s="514">
        <v>0</v>
      </c>
      <c r="O1612" s="499"/>
      <c r="P1612" s="499"/>
      <c r="Q1612" s="499"/>
    </row>
    <row r="1613" spans="1:17" ht="14.4" x14ac:dyDescent="0.3">
      <c r="A1613" s="502">
        <v>4830110</v>
      </c>
      <c r="B1613" s="503" t="s">
        <v>3236</v>
      </c>
      <c r="C1613" s="514">
        <v>0</v>
      </c>
      <c r="D1613" s="514">
        <v>0</v>
      </c>
      <c r="E1613" s="514">
        <v>0</v>
      </c>
      <c r="F1613" s="514">
        <v>0</v>
      </c>
      <c r="G1613" s="514">
        <v>0</v>
      </c>
      <c r="H1613" s="514">
        <v>0</v>
      </c>
      <c r="I1613" s="514">
        <v>0</v>
      </c>
      <c r="J1613" s="514">
        <v>0</v>
      </c>
      <c r="K1613" s="514">
        <v>0</v>
      </c>
      <c r="L1613" s="514">
        <v>0</v>
      </c>
      <c r="M1613" s="514">
        <v>0</v>
      </c>
      <c r="N1613" s="514">
        <v>0</v>
      </c>
      <c r="O1613" s="499"/>
      <c r="P1613" s="499"/>
      <c r="Q1613" s="499"/>
    </row>
    <row r="1614" spans="1:17" ht="14.4" x14ac:dyDescent="0.3">
      <c r="A1614" s="502">
        <v>4830120</v>
      </c>
      <c r="B1614" s="503" t="s">
        <v>3237</v>
      </c>
      <c r="C1614" s="514">
        <v>0</v>
      </c>
      <c r="D1614" s="514">
        <v>0</v>
      </c>
      <c r="E1614" s="514">
        <v>0</v>
      </c>
      <c r="F1614" s="514">
        <v>0</v>
      </c>
      <c r="G1614" s="514">
        <v>0</v>
      </c>
      <c r="H1614" s="514">
        <v>0</v>
      </c>
      <c r="I1614" s="514">
        <v>0</v>
      </c>
      <c r="J1614" s="514">
        <v>0</v>
      </c>
      <c r="K1614" s="514">
        <v>0</v>
      </c>
      <c r="L1614" s="514">
        <v>0</v>
      </c>
      <c r="M1614" s="514">
        <v>0</v>
      </c>
      <c r="N1614" s="514">
        <v>0</v>
      </c>
      <c r="O1614" s="499"/>
      <c r="P1614" s="499"/>
      <c r="Q1614" s="499"/>
    </row>
    <row r="1615" spans="1:17" ht="14.4" x14ac:dyDescent="0.3">
      <c r="A1615" s="502">
        <v>4830182</v>
      </c>
      <c r="B1615" s="503" t="s">
        <v>3238</v>
      </c>
      <c r="C1615" s="514">
        <v>0</v>
      </c>
      <c r="D1615" s="514">
        <v>0</v>
      </c>
      <c r="E1615" s="514">
        <v>0</v>
      </c>
      <c r="F1615" s="514">
        <v>0</v>
      </c>
      <c r="G1615" s="514">
        <v>0</v>
      </c>
      <c r="H1615" s="514">
        <v>0</v>
      </c>
      <c r="I1615" s="514">
        <v>0</v>
      </c>
      <c r="J1615" s="514">
        <v>0</v>
      </c>
      <c r="K1615" s="514">
        <v>0</v>
      </c>
      <c r="L1615" s="514">
        <v>0</v>
      </c>
      <c r="M1615" s="514">
        <v>0</v>
      </c>
      <c r="N1615" s="514">
        <v>0</v>
      </c>
      <c r="O1615" s="499"/>
      <c r="P1615" s="499"/>
      <c r="Q1615" s="499"/>
    </row>
    <row r="1616" spans="1:17" ht="14.4" x14ac:dyDescent="0.3">
      <c r="A1616" s="502">
        <v>4830200</v>
      </c>
      <c r="B1616" s="503" t="s">
        <v>3239</v>
      </c>
      <c r="C1616" s="514">
        <v>0</v>
      </c>
      <c r="D1616" s="514">
        <v>0</v>
      </c>
      <c r="E1616" s="514">
        <v>0</v>
      </c>
      <c r="F1616" s="514">
        <v>0</v>
      </c>
      <c r="G1616" s="514">
        <v>0</v>
      </c>
      <c r="H1616" s="514">
        <v>0</v>
      </c>
      <c r="I1616" s="514">
        <v>0</v>
      </c>
      <c r="J1616" s="514">
        <v>0</v>
      </c>
      <c r="K1616" s="514">
        <v>0</v>
      </c>
      <c r="L1616" s="514">
        <v>0</v>
      </c>
      <c r="M1616" s="514">
        <v>0</v>
      </c>
      <c r="N1616" s="514">
        <v>0</v>
      </c>
      <c r="O1616" s="499"/>
      <c r="P1616" s="499"/>
      <c r="Q1616" s="499"/>
    </row>
    <row r="1617" spans="1:17" ht="14.4" x14ac:dyDescent="0.3">
      <c r="A1617" s="502">
        <v>4830300</v>
      </c>
      <c r="B1617" s="503" t="s">
        <v>3240</v>
      </c>
      <c r="C1617" s="514">
        <v>0</v>
      </c>
      <c r="D1617" s="514">
        <v>0</v>
      </c>
      <c r="E1617" s="514">
        <v>0</v>
      </c>
      <c r="F1617" s="514">
        <v>0</v>
      </c>
      <c r="G1617" s="514">
        <v>0</v>
      </c>
      <c r="H1617" s="514">
        <v>0</v>
      </c>
      <c r="I1617" s="514">
        <v>0</v>
      </c>
      <c r="J1617" s="514">
        <v>0</v>
      </c>
      <c r="K1617" s="514">
        <v>0</v>
      </c>
      <c r="L1617" s="514">
        <v>0</v>
      </c>
      <c r="M1617" s="514">
        <v>0</v>
      </c>
      <c r="N1617" s="514">
        <v>0</v>
      </c>
      <c r="O1617" s="499"/>
      <c r="P1617" s="499"/>
      <c r="Q1617" s="499"/>
    </row>
    <row r="1618" spans="1:17" ht="14.4" x14ac:dyDescent="0.3">
      <c r="A1618" s="502">
        <v>4833091</v>
      </c>
      <c r="B1618" s="503" t="s">
        <v>3241</v>
      </c>
      <c r="C1618" s="514">
        <v>0</v>
      </c>
      <c r="D1618" s="514">
        <v>0</v>
      </c>
      <c r="E1618" s="514">
        <v>0</v>
      </c>
      <c r="F1618" s="514">
        <v>0</v>
      </c>
      <c r="G1618" s="514">
        <v>0</v>
      </c>
      <c r="H1618" s="514">
        <v>0</v>
      </c>
      <c r="I1618" s="514">
        <v>0</v>
      </c>
      <c r="J1618" s="514">
        <v>0</v>
      </c>
      <c r="K1618" s="514">
        <v>0</v>
      </c>
      <c r="L1618" s="514">
        <v>0</v>
      </c>
      <c r="M1618" s="514">
        <v>0</v>
      </c>
      <c r="N1618" s="514">
        <v>0</v>
      </c>
      <c r="O1618" s="499"/>
      <c r="P1618" s="499"/>
      <c r="Q1618" s="499"/>
    </row>
    <row r="1619" spans="1:17" ht="14.4" x14ac:dyDescent="0.3">
      <c r="A1619" s="502">
        <v>4833092</v>
      </c>
      <c r="B1619" s="503" t="s">
        <v>3242</v>
      </c>
      <c r="C1619" s="514">
        <v>0</v>
      </c>
      <c r="D1619" s="514">
        <v>0</v>
      </c>
      <c r="E1619" s="514">
        <v>0</v>
      </c>
      <c r="F1619" s="514">
        <v>0</v>
      </c>
      <c r="G1619" s="514">
        <v>0</v>
      </c>
      <c r="H1619" s="514">
        <v>0</v>
      </c>
      <c r="I1619" s="514">
        <v>0</v>
      </c>
      <c r="J1619" s="514">
        <v>0</v>
      </c>
      <c r="K1619" s="514">
        <v>0</v>
      </c>
      <c r="L1619" s="514">
        <v>0</v>
      </c>
      <c r="M1619" s="514">
        <v>0</v>
      </c>
      <c r="N1619" s="514">
        <v>0</v>
      </c>
      <c r="O1619" s="499"/>
      <c r="P1619" s="499"/>
      <c r="Q1619" s="499"/>
    </row>
    <row r="1620" spans="1:17" ht="14.4" x14ac:dyDescent="0.3">
      <c r="A1620" s="502">
        <v>4840110</v>
      </c>
      <c r="B1620" s="503" t="s">
        <v>3243</v>
      </c>
      <c r="C1620" s="514">
        <v>0</v>
      </c>
      <c r="D1620" s="514">
        <v>0</v>
      </c>
      <c r="E1620" s="514">
        <v>0</v>
      </c>
      <c r="F1620" s="514">
        <v>0</v>
      </c>
      <c r="G1620" s="514">
        <v>0</v>
      </c>
      <c r="H1620" s="514">
        <v>0</v>
      </c>
      <c r="I1620" s="514">
        <v>0</v>
      </c>
      <c r="J1620" s="514">
        <v>0</v>
      </c>
      <c r="K1620" s="514">
        <v>0</v>
      </c>
      <c r="L1620" s="514">
        <v>0</v>
      </c>
      <c r="M1620" s="514">
        <v>0</v>
      </c>
      <c r="N1620" s="514">
        <v>0</v>
      </c>
      <c r="O1620" s="499"/>
      <c r="P1620" s="499"/>
      <c r="Q1620" s="499"/>
    </row>
    <row r="1621" spans="1:17" ht="14.4" x14ac:dyDescent="0.3">
      <c r="A1621" s="502">
        <v>4840120</v>
      </c>
      <c r="B1621" s="503" t="s">
        <v>3244</v>
      </c>
      <c r="C1621" s="514">
        <v>0</v>
      </c>
      <c r="D1621" s="514">
        <v>0</v>
      </c>
      <c r="E1621" s="514">
        <v>0</v>
      </c>
      <c r="F1621" s="514">
        <v>0</v>
      </c>
      <c r="G1621" s="514">
        <v>0</v>
      </c>
      <c r="H1621" s="514">
        <v>0</v>
      </c>
      <c r="I1621" s="514">
        <v>0</v>
      </c>
      <c r="J1621" s="514">
        <v>0</v>
      </c>
      <c r="K1621" s="514">
        <v>0</v>
      </c>
      <c r="L1621" s="514">
        <v>0</v>
      </c>
      <c r="M1621" s="514">
        <v>0</v>
      </c>
      <c r="N1621" s="514">
        <v>0</v>
      </c>
      <c r="O1621" s="499"/>
      <c r="P1621" s="499"/>
      <c r="Q1621" s="499"/>
    </row>
    <row r="1622" spans="1:17" ht="14.4" x14ac:dyDescent="0.3">
      <c r="A1622" s="502">
        <v>4840182</v>
      </c>
      <c r="B1622" s="503" t="s">
        <v>3245</v>
      </c>
      <c r="C1622" s="514">
        <v>0</v>
      </c>
      <c r="D1622" s="514">
        <v>0</v>
      </c>
      <c r="E1622" s="514">
        <v>0</v>
      </c>
      <c r="F1622" s="514">
        <v>0</v>
      </c>
      <c r="G1622" s="514">
        <v>0</v>
      </c>
      <c r="H1622" s="514">
        <v>0</v>
      </c>
      <c r="I1622" s="514">
        <v>0</v>
      </c>
      <c r="J1622" s="514">
        <v>0</v>
      </c>
      <c r="K1622" s="514">
        <v>0</v>
      </c>
      <c r="L1622" s="514">
        <v>0</v>
      </c>
      <c r="M1622" s="514">
        <v>0</v>
      </c>
      <c r="N1622" s="514">
        <v>0</v>
      </c>
      <c r="O1622" s="499"/>
      <c r="P1622" s="499"/>
      <c r="Q1622" s="499"/>
    </row>
    <row r="1623" spans="1:17" ht="14.4" x14ac:dyDescent="0.3">
      <c r="A1623" s="502">
        <v>4870000</v>
      </c>
      <c r="B1623" s="503" t="s">
        <v>3097</v>
      </c>
      <c r="C1623" s="514">
        <v>0</v>
      </c>
      <c r="D1623" s="514">
        <v>0</v>
      </c>
      <c r="E1623" s="514">
        <v>0</v>
      </c>
      <c r="F1623" s="514">
        <v>0</v>
      </c>
      <c r="G1623" s="514">
        <v>0</v>
      </c>
      <c r="H1623" s="514">
        <v>0</v>
      </c>
      <c r="I1623" s="514">
        <v>0</v>
      </c>
      <c r="J1623" s="514">
        <v>0</v>
      </c>
      <c r="K1623" s="514">
        <v>0</v>
      </c>
      <c r="L1623" s="514">
        <v>0</v>
      </c>
      <c r="M1623" s="514">
        <v>0</v>
      </c>
      <c r="N1623" s="514">
        <v>0</v>
      </c>
      <c r="O1623" s="499"/>
      <c r="P1623" s="499"/>
      <c r="Q1623" s="499"/>
    </row>
    <row r="1624" spans="1:17" ht="14.4" x14ac:dyDescent="0.3">
      <c r="A1624" s="502">
        <v>4880101</v>
      </c>
      <c r="B1624" s="503" t="s">
        <v>3246</v>
      </c>
      <c r="C1624" s="514">
        <v>0</v>
      </c>
      <c r="D1624" s="514">
        <v>0</v>
      </c>
      <c r="E1624" s="514">
        <v>0</v>
      </c>
      <c r="F1624" s="514">
        <v>0</v>
      </c>
      <c r="G1624" s="514">
        <v>0</v>
      </c>
      <c r="H1624" s="514">
        <v>0</v>
      </c>
      <c r="I1624" s="514">
        <v>0</v>
      </c>
      <c r="J1624" s="514">
        <v>0</v>
      </c>
      <c r="K1624" s="514">
        <v>0</v>
      </c>
      <c r="L1624" s="514">
        <v>0</v>
      </c>
      <c r="M1624" s="514">
        <v>0</v>
      </c>
      <c r="N1624" s="514">
        <v>0</v>
      </c>
      <c r="O1624" s="499"/>
      <c r="P1624" s="499"/>
      <c r="Q1624" s="499"/>
    </row>
    <row r="1625" spans="1:17" ht="14.4" x14ac:dyDescent="0.3">
      <c r="A1625" s="502">
        <v>4880102</v>
      </c>
      <c r="B1625" s="503" t="s">
        <v>3247</v>
      </c>
      <c r="C1625" s="514">
        <v>0</v>
      </c>
      <c r="D1625" s="514">
        <v>0</v>
      </c>
      <c r="E1625" s="514">
        <v>0</v>
      </c>
      <c r="F1625" s="514">
        <v>0</v>
      </c>
      <c r="G1625" s="514">
        <v>0</v>
      </c>
      <c r="H1625" s="514">
        <v>0</v>
      </c>
      <c r="I1625" s="514">
        <v>0</v>
      </c>
      <c r="J1625" s="514">
        <v>0</v>
      </c>
      <c r="K1625" s="514">
        <v>0</v>
      </c>
      <c r="L1625" s="514">
        <v>0</v>
      </c>
      <c r="M1625" s="514">
        <v>0</v>
      </c>
      <c r="N1625" s="514">
        <v>0</v>
      </c>
      <c r="O1625" s="499"/>
      <c r="P1625" s="499"/>
      <c r="Q1625" s="499"/>
    </row>
    <row r="1626" spans="1:17" ht="14.4" x14ac:dyDescent="0.3">
      <c r="A1626" s="502">
        <v>4880103</v>
      </c>
      <c r="B1626" s="503" t="s">
        <v>3248</v>
      </c>
      <c r="C1626" s="514">
        <v>0</v>
      </c>
      <c r="D1626" s="514">
        <v>0</v>
      </c>
      <c r="E1626" s="514">
        <v>0</v>
      </c>
      <c r="F1626" s="514">
        <v>0</v>
      </c>
      <c r="G1626" s="514">
        <v>0</v>
      </c>
      <c r="H1626" s="514">
        <v>0</v>
      </c>
      <c r="I1626" s="514">
        <v>0</v>
      </c>
      <c r="J1626" s="514">
        <v>0</v>
      </c>
      <c r="K1626" s="514">
        <v>0</v>
      </c>
      <c r="L1626" s="514">
        <v>0</v>
      </c>
      <c r="M1626" s="514">
        <v>0</v>
      </c>
      <c r="N1626" s="514">
        <v>0</v>
      </c>
      <c r="O1626" s="499"/>
      <c r="P1626" s="499"/>
      <c r="Q1626" s="499"/>
    </row>
    <row r="1627" spans="1:17" ht="14.4" x14ac:dyDescent="0.3">
      <c r="A1627" s="502">
        <v>4880104</v>
      </c>
      <c r="B1627" s="503" t="s">
        <v>3249</v>
      </c>
      <c r="C1627" s="514">
        <v>0</v>
      </c>
      <c r="D1627" s="514">
        <v>0</v>
      </c>
      <c r="E1627" s="514">
        <v>0</v>
      </c>
      <c r="F1627" s="514">
        <v>0</v>
      </c>
      <c r="G1627" s="514">
        <v>0</v>
      </c>
      <c r="H1627" s="514">
        <v>0</v>
      </c>
      <c r="I1627" s="514">
        <v>0</v>
      </c>
      <c r="J1627" s="514">
        <v>0</v>
      </c>
      <c r="K1627" s="514">
        <v>0</v>
      </c>
      <c r="L1627" s="514">
        <v>0</v>
      </c>
      <c r="M1627" s="514">
        <v>0</v>
      </c>
      <c r="N1627" s="514">
        <v>0</v>
      </c>
      <c r="O1627" s="499"/>
      <c r="P1627" s="499"/>
      <c r="Q1627" s="499"/>
    </row>
    <row r="1628" spans="1:17" ht="14.4" x14ac:dyDescent="0.3">
      <c r="A1628" s="502">
        <v>4880105</v>
      </c>
      <c r="B1628" s="503" t="s">
        <v>3250</v>
      </c>
      <c r="C1628" s="514">
        <v>0</v>
      </c>
      <c r="D1628" s="514">
        <v>0</v>
      </c>
      <c r="E1628" s="514">
        <v>0</v>
      </c>
      <c r="F1628" s="514">
        <v>0</v>
      </c>
      <c r="G1628" s="514">
        <v>0</v>
      </c>
      <c r="H1628" s="514">
        <v>0</v>
      </c>
      <c r="I1628" s="514">
        <v>0</v>
      </c>
      <c r="J1628" s="514">
        <v>0</v>
      </c>
      <c r="K1628" s="514">
        <v>0</v>
      </c>
      <c r="L1628" s="514">
        <v>0</v>
      </c>
      <c r="M1628" s="514">
        <v>0</v>
      </c>
      <c r="N1628" s="514">
        <v>0</v>
      </c>
      <c r="O1628" s="499"/>
      <c r="P1628" s="499"/>
      <c r="Q1628" s="499"/>
    </row>
    <row r="1629" spans="1:17" ht="14.4" x14ac:dyDescent="0.3">
      <c r="A1629" s="502">
        <v>4880106</v>
      </c>
      <c r="B1629" s="503" t="s">
        <v>3251</v>
      </c>
      <c r="C1629" s="514">
        <v>0</v>
      </c>
      <c r="D1629" s="514">
        <v>0</v>
      </c>
      <c r="E1629" s="514">
        <v>0</v>
      </c>
      <c r="F1629" s="514">
        <v>0</v>
      </c>
      <c r="G1629" s="514">
        <v>0</v>
      </c>
      <c r="H1629" s="514">
        <v>0</v>
      </c>
      <c r="I1629" s="514">
        <v>0</v>
      </c>
      <c r="J1629" s="514">
        <v>0</v>
      </c>
      <c r="K1629" s="514">
        <v>0</v>
      </c>
      <c r="L1629" s="514">
        <v>0</v>
      </c>
      <c r="M1629" s="514">
        <v>0</v>
      </c>
      <c r="N1629" s="514">
        <v>0</v>
      </c>
      <c r="O1629" s="499"/>
      <c r="P1629" s="499"/>
      <c r="Q1629" s="499"/>
    </row>
    <row r="1630" spans="1:17" ht="14.4" x14ac:dyDescent="0.3">
      <c r="A1630" s="502">
        <v>4880107</v>
      </c>
      <c r="B1630" s="503" t="s">
        <v>3252</v>
      </c>
      <c r="C1630" s="514">
        <v>0</v>
      </c>
      <c r="D1630" s="514">
        <v>0</v>
      </c>
      <c r="E1630" s="514">
        <v>0</v>
      </c>
      <c r="F1630" s="514">
        <v>0</v>
      </c>
      <c r="G1630" s="514">
        <v>0</v>
      </c>
      <c r="H1630" s="514">
        <v>0</v>
      </c>
      <c r="I1630" s="514">
        <v>0</v>
      </c>
      <c r="J1630" s="514">
        <v>0</v>
      </c>
      <c r="K1630" s="514">
        <v>0</v>
      </c>
      <c r="L1630" s="514">
        <v>0</v>
      </c>
      <c r="M1630" s="514">
        <v>0</v>
      </c>
      <c r="N1630" s="514">
        <v>0</v>
      </c>
      <c r="O1630" s="499"/>
      <c r="P1630" s="499"/>
      <c r="Q1630" s="499"/>
    </row>
    <row r="1631" spans="1:17" ht="14.4" x14ac:dyDescent="0.3">
      <c r="A1631" s="502">
        <v>4880108</v>
      </c>
      <c r="B1631" s="503" t="s">
        <v>3253</v>
      </c>
      <c r="C1631" s="514">
        <v>0</v>
      </c>
      <c r="D1631" s="514">
        <v>0</v>
      </c>
      <c r="E1631" s="514">
        <v>0</v>
      </c>
      <c r="F1631" s="514">
        <v>0</v>
      </c>
      <c r="G1631" s="514">
        <v>0</v>
      </c>
      <c r="H1631" s="514">
        <v>0</v>
      </c>
      <c r="I1631" s="514">
        <v>0</v>
      </c>
      <c r="J1631" s="514">
        <v>0</v>
      </c>
      <c r="K1631" s="514">
        <v>0</v>
      </c>
      <c r="L1631" s="514">
        <v>0</v>
      </c>
      <c r="M1631" s="514">
        <v>0</v>
      </c>
      <c r="N1631" s="514">
        <v>0</v>
      </c>
      <c r="O1631" s="499"/>
      <c r="P1631" s="499"/>
      <c r="Q1631" s="499"/>
    </row>
    <row r="1632" spans="1:17" ht="14.4" x14ac:dyDescent="0.3">
      <c r="A1632" s="502">
        <v>4880111</v>
      </c>
      <c r="B1632" s="503" t="s">
        <v>3254</v>
      </c>
      <c r="C1632" s="514">
        <v>0</v>
      </c>
      <c r="D1632" s="514">
        <v>0</v>
      </c>
      <c r="E1632" s="514">
        <v>0</v>
      </c>
      <c r="F1632" s="514">
        <v>0</v>
      </c>
      <c r="G1632" s="514">
        <v>0</v>
      </c>
      <c r="H1632" s="514">
        <v>0</v>
      </c>
      <c r="I1632" s="514">
        <v>0</v>
      </c>
      <c r="J1632" s="514">
        <v>0</v>
      </c>
      <c r="K1632" s="514">
        <v>0</v>
      </c>
      <c r="L1632" s="514">
        <v>0</v>
      </c>
      <c r="M1632" s="514">
        <v>0</v>
      </c>
      <c r="N1632" s="514">
        <v>0</v>
      </c>
      <c r="O1632" s="499"/>
      <c r="P1632" s="499"/>
      <c r="Q1632" s="499"/>
    </row>
    <row r="1633" spans="1:17" ht="14.4" x14ac:dyDescent="0.3">
      <c r="A1633" s="502">
        <v>4880800</v>
      </c>
      <c r="B1633" s="503" t="s">
        <v>599</v>
      </c>
      <c r="C1633" s="514">
        <v>0</v>
      </c>
      <c r="D1633" s="514">
        <v>0</v>
      </c>
      <c r="E1633" s="514">
        <v>0</v>
      </c>
      <c r="F1633" s="514">
        <v>0</v>
      </c>
      <c r="G1633" s="514">
        <v>0</v>
      </c>
      <c r="H1633" s="514">
        <v>0</v>
      </c>
      <c r="I1633" s="514">
        <v>0</v>
      </c>
      <c r="J1633" s="514">
        <v>0</v>
      </c>
      <c r="K1633" s="514">
        <v>0</v>
      </c>
      <c r="L1633" s="514">
        <v>0</v>
      </c>
      <c r="M1633" s="514">
        <v>0</v>
      </c>
      <c r="N1633" s="514">
        <v>0</v>
      </c>
      <c r="O1633" s="499"/>
      <c r="P1633" s="499"/>
      <c r="Q1633" s="499"/>
    </row>
    <row r="1634" spans="1:17" ht="14.4" x14ac:dyDescent="0.3">
      <c r="A1634" s="502">
        <v>4880850</v>
      </c>
      <c r="B1634" s="503" t="s">
        <v>3255</v>
      </c>
      <c r="C1634" s="514">
        <v>0</v>
      </c>
      <c r="D1634" s="514">
        <v>0</v>
      </c>
      <c r="E1634" s="514">
        <v>0</v>
      </c>
      <c r="F1634" s="514">
        <v>0</v>
      </c>
      <c r="G1634" s="514">
        <v>0</v>
      </c>
      <c r="H1634" s="514">
        <v>0</v>
      </c>
      <c r="I1634" s="514">
        <v>0</v>
      </c>
      <c r="J1634" s="514">
        <v>0</v>
      </c>
      <c r="K1634" s="514">
        <v>0</v>
      </c>
      <c r="L1634" s="514">
        <v>0</v>
      </c>
      <c r="M1634" s="514">
        <v>0</v>
      </c>
      <c r="N1634" s="514">
        <v>0</v>
      </c>
      <c r="O1634" s="499"/>
      <c r="P1634" s="499"/>
      <c r="Q1634" s="499"/>
    </row>
    <row r="1635" spans="1:17" ht="14.4" x14ac:dyDescent="0.3">
      <c r="A1635" s="502">
        <v>4892010</v>
      </c>
      <c r="B1635" s="503" t="s">
        <v>3256</v>
      </c>
      <c r="C1635" s="514">
        <v>0</v>
      </c>
      <c r="D1635" s="514">
        <v>0</v>
      </c>
      <c r="E1635" s="514">
        <v>0</v>
      </c>
      <c r="F1635" s="514">
        <v>0</v>
      </c>
      <c r="G1635" s="514">
        <v>0</v>
      </c>
      <c r="H1635" s="514">
        <v>0</v>
      </c>
      <c r="I1635" s="514">
        <v>0</v>
      </c>
      <c r="J1635" s="514">
        <v>0</v>
      </c>
      <c r="K1635" s="514">
        <v>0</v>
      </c>
      <c r="L1635" s="514">
        <v>0</v>
      </c>
      <c r="M1635" s="514">
        <v>0</v>
      </c>
      <c r="N1635" s="514">
        <v>0</v>
      </c>
      <c r="O1635" s="499"/>
      <c r="P1635" s="499"/>
      <c r="Q1635" s="499"/>
    </row>
    <row r="1636" spans="1:17" ht="14.4" x14ac:dyDescent="0.3">
      <c r="A1636" s="502">
        <v>4892020</v>
      </c>
      <c r="B1636" s="503" t="s">
        <v>3257</v>
      </c>
      <c r="C1636" s="514">
        <v>0</v>
      </c>
      <c r="D1636" s="514">
        <v>0</v>
      </c>
      <c r="E1636" s="514">
        <v>0</v>
      </c>
      <c r="F1636" s="514">
        <v>0</v>
      </c>
      <c r="G1636" s="514">
        <v>0</v>
      </c>
      <c r="H1636" s="514">
        <v>0</v>
      </c>
      <c r="I1636" s="514">
        <v>0</v>
      </c>
      <c r="J1636" s="514">
        <v>0</v>
      </c>
      <c r="K1636" s="514">
        <v>0</v>
      </c>
      <c r="L1636" s="514">
        <v>0</v>
      </c>
      <c r="M1636" s="514">
        <v>0</v>
      </c>
      <c r="N1636" s="514">
        <v>0</v>
      </c>
      <c r="O1636" s="499"/>
      <c r="P1636" s="499"/>
      <c r="Q1636" s="499"/>
    </row>
    <row r="1637" spans="1:17" ht="14.4" x14ac:dyDescent="0.3">
      <c r="A1637" s="502">
        <v>4892110</v>
      </c>
      <c r="B1637" s="503" t="s">
        <v>3258</v>
      </c>
      <c r="C1637" s="514">
        <v>0</v>
      </c>
      <c r="D1637" s="514">
        <v>0</v>
      </c>
      <c r="E1637" s="514">
        <v>0</v>
      </c>
      <c r="F1637" s="514">
        <v>0</v>
      </c>
      <c r="G1637" s="514">
        <v>0</v>
      </c>
      <c r="H1637" s="514">
        <v>0</v>
      </c>
      <c r="I1637" s="514">
        <v>0</v>
      </c>
      <c r="J1637" s="514">
        <v>0</v>
      </c>
      <c r="K1637" s="514">
        <v>0</v>
      </c>
      <c r="L1637" s="514">
        <v>0</v>
      </c>
      <c r="M1637" s="514">
        <v>0</v>
      </c>
      <c r="N1637" s="514">
        <v>0</v>
      </c>
      <c r="O1637" s="499"/>
      <c r="P1637" s="499"/>
      <c r="Q1637" s="499"/>
    </row>
    <row r="1638" spans="1:17" ht="14.4" x14ac:dyDescent="0.3">
      <c r="A1638" s="502">
        <v>4892111</v>
      </c>
      <c r="B1638" s="503" t="s">
        <v>3259</v>
      </c>
      <c r="C1638" s="514">
        <v>0</v>
      </c>
      <c r="D1638" s="514">
        <v>0</v>
      </c>
      <c r="E1638" s="514">
        <v>0</v>
      </c>
      <c r="F1638" s="514">
        <v>0</v>
      </c>
      <c r="G1638" s="514">
        <v>0</v>
      </c>
      <c r="H1638" s="514">
        <v>0</v>
      </c>
      <c r="I1638" s="514">
        <v>0</v>
      </c>
      <c r="J1638" s="514">
        <v>0</v>
      </c>
      <c r="K1638" s="514">
        <v>0</v>
      </c>
      <c r="L1638" s="514">
        <v>0</v>
      </c>
      <c r="M1638" s="514">
        <v>0</v>
      </c>
      <c r="N1638" s="514">
        <v>0</v>
      </c>
      <c r="O1638" s="499"/>
      <c r="P1638" s="499"/>
      <c r="Q1638" s="499"/>
    </row>
    <row r="1639" spans="1:17" ht="14.4" x14ac:dyDescent="0.3">
      <c r="A1639" s="502">
        <v>4892112</v>
      </c>
      <c r="B1639" s="503" t="s">
        <v>3260</v>
      </c>
      <c r="C1639" s="514">
        <v>0</v>
      </c>
      <c r="D1639" s="514">
        <v>0</v>
      </c>
      <c r="E1639" s="514">
        <v>0</v>
      </c>
      <c r="F1639" s="514">
        <v>0</v>
      </c>
      <c r="G1639" s="514">
        <v>0</v>
      </c>
      <c r="H1639" s="514">
        <v>0</v>
      </c>
      <c r="I1639" s="514">
        <v>0</v>
      </c>
      <c r="J1639" s="514">
        <v>0</v>
      </c>
      <c r="K1639" s="514">
        <v>0</v>
      </c>
      <c r="L1639" s="514">
        <v>0</v>
      </c>
      <c r="M1639" s="514">
        <v>0</v>
      </c>
      <c r="N1639" s="514">
        <v>0</v>
      </c>
      <c r="O1639" s="499"/>
      <c r="P1639" s="499"/>
      <c r="Q1639" s="499"/>
    </row>
    <row r="1640" spans="1:17" ht="14.4" x14ac:dyDescent="0.3">
      <c r="A1640" s="502">
        <v>4892113</v>
      </c>
      <c r="B1640" s="503" t="s">
        <v>3261</v>
      </c>
      <c r="C1640" s="514">
        <v>0</v>
      </c>
      <c r="D1640" s="514">
        <v>0</v>
      </c>
      <c r="E1640" s="514">
        <v>0</v>
      </c>
      <c r="F1640" s="514">
        <v>0</v>
      </c>
      <c r="G1640" s="514">
        <v>0</v>
      </c>
      <c r="H1640" s="514">
        <v>0</v>
      </c>
      <c r="I1640" s="514">
        <v>0</v>
      </c>
      <c r="J1640" s="514">
        <v>0</v>
      </c>
      <c r="K1640" s="514">
        <v>0</v>
      </c>
      <c r="L1640" s="514">
        <v>0</v>
      </c>
      <c r="M1640" s="514">
        <v>0</v>
      </c>
      <c r="N1640" s="514">
        <v>0</v>
      </c>
      <c r="O1640" s="499"/>
      <c r="P1640" s="499"/>
      <c r="Q1640" s="499"/>
    </row>
    <row r="1641" spans="1:17" ht="14.4" x14ac:dyDescent="0.3">
      <c r="A1641" s="502">
        <v>4892114</v>
      </c>
      <c r="B1641" s="503" t="s">
        <v>3262</v>
      </c>
      <c r="C1641" s="514">
        <v>0</v>
      </c>
      <c r="D1641" s="514">
        <v>0</v>
      </c>
      <c r="E1641" s="514">
        <v>0</v>
      </c>
      <c r="F1641" s="514">
        <v>0</v>
      </c>
      <c r="G1641" s="514">
        <v>0</v>
      </c>
      <c r="H1641" s="514">
        <v>0</v>
      </c>
      <c r="I1641" s="514">
        <v>0</v>
      </c>
      <c r="J1641" s="514">
        <v>0</v>
      </c>
      <c r="K1641" s="514">
        <v>0</v>
      </c>
      <c r="L1641" s="514">
        <v>0</v>
      </c>
      <c r="M1641" s="514">
        <v>0</v>
      </c>
      <c r="N1641" s="514">
        <v>0</v>
      </c>
      <c r="O1641" s="499"/>
      <c r="P1641" s="499"/>
      <c r="Q1641" s="499"/>
    </row>
    <row r="1642" spans="1:17" ht="14.4" x14ac:dyDescent="0.3">
      <c r="A1642" s="502">
        <v>4892115</v>
      </c>
      <c r="B1642" s="503" t="s">
        <v>3263</v>
      </c>
      <c r="C1642" s="514">
        <v>0</v>
      </c>
      <c r="D1642" s="514">
        <v>0</v>
      </c>
      <c r="E1642" s="514">
        <v>0</v>
      </c>
      <c r="F1642" s="514">
        <v>0</v>
      </c>
      <c r="G1642" s="514">
        <v>0</v>
      </c>
      <c r="H1642" s="514">
        <v>0</v>
      </c>
      <c r="I1642" s="514">
        <v>0</v>
      </c>
      <c r="J1642" s="514">
        <v>0</v>
      </c>
      <c r="K1642" s="514">
        <v>0</v>
      </c>
      <c r="L1642" s="514">
        <v>0</v>
      </c>
      <c r="M1642" s="514">
        <v>0</v>
      </c>
      <c r="N1642" s="514">
        <v>0</v>
      </c>
      <c r="O1642" s="499"/>
      <c r="P1642" s="499"/>
      <c r="Q1642" s="499"/>
    </row>
    <row r="1643" spans="1:17" ht="14.4" x14ac:dyDescent="0.3">
      <c r="A1643" s="502">
        <v>4892116</v>
      </c>
      <c r="B1643" s="503" t="s">
        <v>3264</v>
      </c>
      <c r="C1643" s="514">
        <v>0</v>
      </c>
      <c r="D1643" s="514">
        <v>0</v>
      </c>
      <c r="E1643" s="514">
        <v>0</v>
      </c>
      <c r="F1643" s="514">
        <v>0</v>
      </c>
      <c r="G1643" s="514">
        <v>0</v>
      </c>
      <c r="H1643" s="514">
        <v>0</v>
      </c>
      <c r="I1643" s="514">
        <v>0</v>
      </c>
      <c r="J1643" s="514">
        <v>0</v>
      </c>
      <c r="K1643" s="514">
        <v>0</v>
      </c>
      <c r="L1643" s="514">
        <v>0</v>
      </c>
      <c r="M1643" s="514">
        <v>0</v>
      </c>
      <c r="N1643" s="514">
        <v>0</v>
      </c>
      <c r="O1643" s="499"/>
      <c r="P1643" s="499"/>
      <c r="Q1643" s="499"/>
    </row>
    <row r="1644" spans="1:17" ht="14.4" x14ac:dyDescent="0.3">
      <c r="A1644" s="502">
        <v>4892118</v>
      </c>
      <c r="B1644" s="503" t="s">
        <v>3265</v>
      </c>
      <c r="C1644" s="514">
        <v>0</v>
      </c>
      <c r="D1644" s="514">
        <v>0</v>
      </c>
      <c r="E1644" s="514">
        <v>0</v>
      </c>
      <c r="F1644" s="514">
        <v>0</v>
      </c>
      <c r="G1644" s="514">
        <v>0</v>
      </c>
      <c r="H1644" s="514">
        <v>0</v>
      </c>
      <c r="I1644" s="514">
        <v>0</v>
      </c>
      <c r="J1644" s="514">
        <v>0</v>
      </c>
      <c r="K1644" s="514">
        <v>0</v>
      </c>
      <c r="L1644" s="514">
        <v>0</v>
      </c>
      <c r="M1644" s="514">
        <v>0</v>
      </c>
      <c r="N1644" s="514">
        <v>0</v>
      </c>
      <c r="O1644" s="499"/>
      <c r="P1644" s="499"/>
      <c r="Q1644" s="499"/>
    </row>
    <row r="1645" spans="1:17" ht="14.4" x14ac:dyDescent="0.3">
      <c r="A1645" s="502">
        <v>4892119</v>
      </c>
      <c r="B1645" s="503" t="s">
        <v>3266</v>
      </c>
      <c r="C1645" s="514">
        <v>0</v>
      </c>
      <c r="D1645" s="514">
        <v>0</v>
      </c>
      <c r="E1645" s="514">
        <v>0</v>
      </c>
      <c r="F1645" s="514">
        <v>0</v>
      </c>
      <c r="G1645" s="514">
        <v>0</v>
      </c>
      <c r="H1645" s="514">
        <v>0</v>
      </c>
      <c r="I1645" s="514">
        <v>0</v>
      </c>
      <c r="J1645" s="514">
        <v>0</v>
      </c>
      <c r="K1645" s="514">
        <v>0</v>
      </c>
      <c r="L1645" s="514">
        <v>0</v>
      </c>
      <c r="M1645" s="514">
        <v>0</v>
      </c>
      <c r="N1645" s="514">
        <v>0</v>
      </c>
      <c r="O1645" s="499"/>
      <c r="P1645" s="499"/>
      <c r="Q1645" s="499"/>
    </row>
    <row r="1646" spans="1:17" ht="14.4" x14ac:dyDescent="0.3">
      <c r="A1646" s="502">
        <v>4892120</v>
      </c>
      <c r="B1646" s="503" t="s">
        <v>3267</v>
      </c>
      <c r="C1646" s="514">
        <v>0</v>
      </c>
      <c r="D1646" s="514">
        <v>0</v>
      </c>
      <c r="E1646" s="514">
        <v>0</v>
      </c>
      <c r="F1646" s="514">
        <v>0</v>
      </c>
      <c r="G1646" s="514">
        <v>0</v>
      </c>
      <c r="H1646" s="514">
        <v>0</v>
      </c>
      <c r="I1646" s="514">
        <v>0</v>
      </c>
      <c r="J1646" s="514">
        <v>0</v>
      </c>
      <c r="K1646" s="514">
        <v>0</v>
      </c>
      <c r="L1646" s="514">
        <v>0</v>
      </c>
      <c r="M1646" s="514">
        <v>0</v>
      </c>
      <c r="N1646" s="514">
        <v>0</v>
      </c>
      <c r="O1646" s="499"/>
      <c r="P1646" s="499"/>
      <c r="Q1646" s="499"/>
    </row>
    <row r="1647" spans="1:17" ht="14.4" x14ac:dyDescent="0.3">
      <c r="A1647" s="502">
        <v>4892182</v>
      </c>
      <c r="B1647" s="503" t="s">
        <v>3268</v>
      </c>
      <c r="C1647" s="514">
        <v>0</v>
      </c>
      <c r="D1647" s="514">
        <v>0</v>
      </c>
      <c r="E1647" s="514">
        <v>0</v>
      </c>
      <c r="F1647" s="514">
        <v>0</v>
      </c>
      <c r="G1647" s="514">
        <v>0</v>
      </c>
      <c r="H1647" s="514">
        <v>0</v>
      </c>
      <c r="I1647" s="514">
        <v>0</v>
      </c>
      <c r="J1647" s="514">
        <v>0</v>
      </c>
      <c r="K1647" s="514">
        <v>0</v>
      </c>
      <c r="L1647" s="514">
        <v>0</v>
      </c>
      <c r="M1647" s="514">
        <v>0</v>
      </c>
      <c r="N1647" s="514">
        <v>0</v>
      </c>
      <c r="O1647" s="499"/>
      <c r="P1647" s="499"/>
      <c r="Q1647" s="499"/>
    </row>
    <row r="1648" spans="1:17" ht="14.4" x14ac:dyDescent="0.3">
      <c r="A1648" s="502">
        <v>4892210</v>
      </c>
      <c r="B1648" s="503" t="s">
        <v>3269</v>
      </c>
      <c r="C1648" s="514">
        <v>0</v>
      </c>
      <c r="D1648" s="514">
        <v>0</v>
      </c>
      <c r="E1648" s="514">
        <v>0</v>
      </c>
      <c r="F1648" s="514">
        <v>0</v>
      </c>
      <c r="G1648" s="514">
        <v>0</v>
      </c>
      <c r="H1648" s="514">
        <v>0</v>
      </c>
      <c r="I1648" s="514">
        <v>0</v>
      </c>
      <c r="J1648" s="514">
        <v>0</v>
      </c>
      <c r="K1648" s="514">
        <v>0</v>
      </c>
      <c r="L1648" s="514">
        <v>0</v>
      </c>
      <c r="M1648" s="514">
        <v>0</v>
      </c>
      <c r="N1648" s="514">
        <v>0</v>
      </c>
      <c r="O1648" s="499"/>
      <c r="P1648" s="499"/>
      <c r="Q1648" s="499"/>
    </row>
    <row r="1649" spans="1:17" ht="14.4" x14ac:dyDescent="0.3">
      <c r="A1649" s="502">
        <v>4892211</v>
      </c>
      <c r="B1649" s="503" t="s">
        <v>3270</v>
      </c>
      <c r="C1649" s="514">
        <v>0</v>
      </c>
      <c r="D1649" s="514">
        <v>0</v>
      </c>
      <c r="E1649" s="514">
        <v>0</v>
      </c>
      <c r="F1649" s="514">
        <v>0</v>
      </c>
      <c r="G1649" s="514">
        <v>0</v>
      </c>
      <c r="H1649" s="514">
        <v>0</v>
      </c>
      <c r="I1649" s="514">
        <v>0</v>
      </c>
      <c r="J1649" s="514">
        <v>0</v>
      </c>
      <c r="K1649" s="514">
        <v>0</v>
      </c>
      <c r="L1649" s="514">
        <v>0</v>
      </c>
      <c r="M1649" s="514">
        <v>0</v>
      </c>
      <c r="N1649" s="514">
        <v>0</v>
      </c>
      <c r="O1649" s="499"/>
      <c r="P1649" s="499"/>
      <c r="Q1649" s="499"/>
    </row>
    <row r="1650" spans="1:17" ht="14.4" x14ac:dyDescent="0.3">
      <c r="A1650" s="502">
        <v>4892212</v>
      </c>
      <c r="B1650" s="503" t="s">
        <v>3271</v>
      </c>
      <c r="C1650" s="514">
        <v>0</v>
      </c>
      <c r="D1650" s="514">
        <v>0</v>
      </c>
      <c r="E1650" s="514">
        <v>0</v>
      </c>
      <c r="F1650" s="514">
        <v>0</v>
      </c>
      <c r="G1650" s="514">
        <v>0</v>
      </c>
      <c r="H1650" s="514">
        <v>0</v>
      </c>
      <c r="I1650" s="514">
        <v>0</v>
      </c>
      <c r="J1650" s="514">
        <v>0</v>
      </c>
      <c r="K1650" s="514">
        <v>0</v>
      </c>
      <c r="L1650" s="514">
        <v>0</v>
      </c>
      <c r="M1650" s="514">
        <v>0</v>
      </c>
      <c r="N1650" s="514">
        <v>0</v>
      </c>
      <c r="O1650" s="499"/>
      <c r="P1650" s="499"/>
      <c r="Q1650" s="499"/>
    </row>
    <row r="1651" spans="1:17" ht="14.4" x14ac:dyDescent="0.3">
      <c r="A1651" s="502">
        <v>4892213</v>
      </c>
      <c r="B1651" s="503" t="s">
        <v>3272</v>
      </c>
      <c r="C1651" s="514">
        <v>0</v>
      </c>
      <c r="D1651" s="514">
        <v>0</v>
      </c>
      <c r="E1651" s="514">
        <v>0</v>
      </c>
      <c r="F1651" s="514">
        <v>0</v>
      </c>
      <c r="G1651" s="514">
        <v>0</v>
      </c>
      <c r="H1651" s="514">
        <v>0</v>
      </c>
      <c r="I1651" s="514">
        <v>0</v>
      </c>
      <c r="J1651" s="514">
        <v>0</v>
      </c>
      <c r="K1651" s="514">
        <v>0</v>
      </c>
      <c r="L1651" s="514">
        <v>0</v>
      </c>
      <c r="M1651" s="514">
        <v>0</v>
      </c>
      <c r="N1651" s="514">
        <v>0</v>
      </c>
      <c r="O1651" s="499"/>
      <c r="P1651" s="499"/>
      <c r="Q1651" s="499"/>
    </row>
    <row r="1652" spans="1:17" ht="14.4" x14ac:dyDescent="0.3">
      <c r="A1652" s="502">
        <v>4892214</v>
      </c>
      <c r="B1652" s="503" t="s">
        <v>3273</v>
      </c>
      <c r="C1652" s="514">
        <v>0</v>
      </c>
      <c r="D1652" s="514">
        <v>0</v>
      </c>
      <c r="E1652" s="514">
        <v>0</v>
      </c>
      <c r="F1652" s="514">
        <v>0</v>
      </c>
      <c r="G1652" s="514">
        <v>0</v>
      </c>
      <c r="H1652" s="514">
        <v>0</v>
      </c>
      <c r="I1652" s="514">
        <v>0</v>
      </c>
      <c r="J1652" s="514">
        <v>0</v>
      </c>
      <c r="K1652" s="514">
        <v>0</v>
      </c>
      <c r="L1652" s="514">
        <v>0</v>
      </c>
      <c r="M1652" s="514">
        <v>0</v>
      </c>
      <c r="N1652" s="514">
        <v>0</v>
      </c>
      <c r="O1652" s="499"/>
      <c r="P1652" s="499"/>
      <c r="Q1652" s="499"/>
    </row>
    <row r="1653" spans="1:17" ht="14.4" x14ac:dyDescent="0.3">
      <c r="A1653" s="502">
        <v>4892215</v>
      </c>
      <c r="B1653" s="503" t="s">
        <v>3274</v>
      </c>
      <c r="C1653" s="514">
        <v>0</v>
      </c>
      <c r="D1653" s="514">
        <v>0</v>
      </c>
      <c r="E1653" s="514">
        <v>0</v>
      </c>
      <c r="F1653" s="514">
        <v>0</v>
      </c>
      <c r="G1653" s="514">
        <v>0</v>
      </c>
      <c r="H1653" s="514">
        <v>0</v>
      </c>
      <c r="I1653" s="514">
        <v>0</v>
      </c>
      <c r="J1653" s="514">
        <v>0</v>
      </c>
      <c r="K1653" s="514">
        <v>0</v>
      </c>
      <c r="L1653" s="514">
        <v>0</v>
      </c>
      <c r="M1653" s="514">
        <v>0</v>
      </c>
      <c r="N1653" s="514">
        <v>0</v>
      </c>
      <c r="O1653" s="499"/>
      <c r="P1653" s="499"/>
      <c r="Q1653" s="499"/>
    </row>
    <row r="1654" spans="1:17" ht="14.4" x14ac:dyDescent="0.3">
      <c r="A1654" s="502">
        <v>4892216</v>
      </c>
      <c r="B1654" s="503" t="s">
        <v>3275</v>
      </c>
      <c r="C1654" s="514">
        <v>0</v>
      </c>
      <c r="D1654" s="514">
        <v>0</v>
      </c>
      <c r="E1654" s="514">
        <v>0</v>
      </c>
      <c r="F1654" s="514">
        <v>0</v>
      </c>
      <c r="G1654" s="514">
        <v>0</v>
      </c>
      <c r="H1654" s="514">
        <v>0</v>
      </c>
      <c r="I1654" s="514">
        <v>0</v>
      </c>
      <c r="J1654" s="514">
        <v>0</v>
      </c>
      <c r="K1654" s="514">
        <v>0</v>
      </c>
      <c r="L1654" s="514">
        <v>0</v>
      </c>
      <c r="M1654" s="514">
        <v>0</v>
      </c>
      <c r="N1654" s="514">
        <v>0</v>
      </c>
      <c r="O1654" s="499"/>
      <c r="P1654" s="499"/>
      <c r="Q1654" s="499"/>
    </row>
    <row r="1655" spans="1:17" ht="14.4" x14ac:dyDescent="0.3">
      <c r="A1655" s="502">
        <v>4892218</v>
      </c>
      <c r="B1655" s="503" t="s">
        <v>3276</v>
      </c>
      <c r="C1655" s="514">
        <v>0</v>
      </c>
      <c r="D1655" s="514">
        <v>0</v>
      </c>
      <c r="E1655" s="514">
        <v>0</v>
      </c>
      <c r="F1655" s="514">
        <v>0</v>
      </c>
      <c r="G1655" s="514">
        <v>0</v>
      </c>
      <c r="H1655" s="514">
        <v>0</v>
      </c>
      <c r="I1655" s="514">
        <v>0</v>
      </c>
      <c r="J1655" s="514">
        <v>0</v>
      </c>
      <c r="K1655" s="514">
        <v>0</v>
      </c>
      <c r="L1655" s="514">
        <v>0</v>
      </c>
      <c r="M1655" s="514">
        <v>0</v>
      </c>
      <c r="N1655" s="514">
        <v>0</v>
      </c>
      <c r="O1655" s="499"/>
      <c r="P1655" s="499"/>
      <c r="Q1655" s="499"/>
    </row>
    <row r="1656" spans="1:17" ht="14.4" x14ac:dyDescent="0.3">
      <c r="A1656" s="502">
        <v>4892219</v>
      </c>
      <c r="B1656" s="503" t="s">
        <v>3277</v>
      </c>
      <c r="C1656" s="514">
        <v>0</v>
      </c>
      <c r="D1656" s="514">
        <v>0</v>
      </c>
      <c r="E1656" s="514">
        <v>0</v>
      </c>
      <c r="F1656" s="514">
        <v>0</v>
      </c>
      <c r="G1656" s="514">
        <v>0</v>
      </c>
      <c r="H1656" s="514">
        <v>0</v>
      </c>
      <c r="I1656" s="514">
        <v>0</v>
      </c>
      <c r="J1656" s="514">
        <v>0</v>
      </c>
      <c r="K1656" s="514">
        <v>0</v>
      </c>
      <c r="L1656" s="514">
        <v>0</v>
      </c>
      <c r="M1656" s="514">
        <v>0</v>
      </c>
      <c r="N1656" s="514">
        <v>0</v>
      </c>
      <c r="O1656" s="499"/>
      <c r="P1656" s="499"/>
      <c r="Q1656" s="499"/>
    </row>
    <row r="1657" spans="1:17" ht="14.4" x14ac:dyDescent="0.3">
      <c r="A1657" s="502">
        <v>4892220</v>
      </c>
      <c r="B1657" s="503" t="s">
        <v>3278</v>
      </c>
      <c r="C1657" s="514">
        <v>0</v>
      </c>
      <c r="D1657" s="514">
        <v>0</v>
      </c>
      <c r="E1657" s="514">
        <v>0</v>
      </c>
      <c r="F1657" s="514">
        <v>0</v>
      </c>
      <c r="G1657" s="514">
        <v>0</v>
      </c>
      <c r="H1657" s="514">
        <v>0</v>
      </c>
      <c r="I1657" s="514">
        <v>0</v>
      </c>
      <c r="J1657" s="514">
        <v>0</v>
      </c>
      <c r="K1657" s="514">
        <v>0</v>
      </c>
      <c r="L1657" s="514">
        <v>0</v>
      </c>
      <c r="M1657" s="514">
        <v>0</v>
      </c>
      <c r="N1657" s="514">
        <v>0</v>
      </c>
      <c r="O1657" s="499"/>
      <c r="P1657" s="499"/>
      <c r="Q1657" s="499"/>
    </row>
    <row r="1658" spans="1:17" ht="14.4" x14ac:dyDescent="0.3">
      <c r="A1658" s="502">
        <v>4892282</v>
      </c>
      <c r="B1658" s="503" t="s">
        <v>3279</v>
      </c>
      <c r="C1658" s="514">
        <v>0</v>
      </c>
      <c r="D1658" s="514">
        <v>0</v>
      </c>
      <c r="E1658" s="514">
        <v>0</v>
      </c>
      <c r="F1658" s="514">
        <v>0</v>
      </c>
      <c r="G1658" s="514">
        <v>0</v>
      </c>
      <c r="H1658" s="514">
        <v>0</v>
      </c>
      <c r="I1658" s="514">
        <v>0</v>
      </c>
      <c r="J1658" s="514">
        <v>0</v>
      </c>
      <c r="K1658" s="514">
        <v>0</v>
      </c>
      <c r="L1658" s="514">
        <v>0</v>
      </c>
      <c r="M1658" s="514">
        <v>0</v>
      </c>
      <c r="N1658" s="514">
        <v>0</v>
      </c>
      <c r="O1658" s="499"/>
      <c r="P1658" s="499"/>
      <c r="Q1658" s="499"/>
    </row>
    <row r="1659" spans="1:17" ht="14.4" x14ac:dyDescent="0.3">
      <c r="A1659" s="502">
        <v>4892310</v>
      </c>
      <c r="B1659" s="503" t="s">
        <v>3280</v>
      </c>
      <c r="C1659" s="514">
        <v>0</v>
      </c>
      <c r="D1659" s="514">
        <v>0</v>
      </c>
      <c r="E1659" s="514">
        <v>0</v>
      </c>
      <c r="F1659" s="514">
        <v>0</v>
      </c>
      <c r="G1659" s="514">
        <v>0</v>
      </c>
      <c r="H1659" s="514">
        <v>0</v>
      </c>
      <c r="I1659" s="514">
        <v>0</v>
      </c>
      <c r="J1659" s="514">
        <v>0</v>
      </c>
      <c r="K1659" s="514">
        <v>0</v>
      </c>
      <c r="L1659" s="514">
        <v>0</v>
      </c>
      <c r="M1659" s="514">
        <v>0</v>
      </c>
      <c r="N1659" s="514">
        <v>0</v>
      </c>
      <c r="O1659" s="499"/>
      <c r="P1659" s="499"/>
      <c r="Q1659" s="499"/>
    </row>
    <row r="1660" spans="1:17" ht="14.4" x14ac:dyDescent="0.3">
      <c r="A1660" s="502">
        <v>4892311</v>
      </c>
      <c r="B1660" s="503" t="s">
        <v>3281</v>
      </c>
      <c r="C1660" s="514">
        <v>0</v>
      </c>
      <c r="D1660" s="514">
        <v>0</v>
      </c>
      <c r="E1660" s="514">
        <v>0</v>
      </c>
      <c r="F1660" s="514">
        <v>0</v>
      </c>
      <c r="G1660" s="514">
        <v>0</v>
      </c>
      <c r="H1660" s="514">
        <v>0</v>
      </c>
      <c r="I1660" s="514">
        <v>0</v>
      </c>
      <c r="J1660" s="514">
        <v>0</v>
      </c>
      <c r="K1660" s="514">
        <v>0</v>
      </c>
      <c r="L1660" s="514">
        <v>0</v>
      </c>
      <c r="M1660" s="514">
        <v>0</v>
      </c>
      <c r="N1660" s="514">
        <v>0</v>
      </c>
      <c r="O1660" s="499"/>
      <c r="P1660" s="499"/>
      <c r="Q1660" s="499"/>
    </row>
    <row r="1661" spans="1:17" ht="14.4" x14ac:dyDescent="0.3">
      <c r="A1661" s="502">
        <v>4892312</v>
      </c>
      <c r="B1661" s="503" t="s">
        <v>3282</v>
      </c>
      <c r="C1661" s="514">
        <v>0</v>
      </c>
      <c r="D1661" s="514">
        <v>0</v>
      </c>
      <c r="E1661" s="514">
        <v>0</v>
      </c>
      <c r="F1661" s="514">
        <v>0</v>
      </c>
      <c r="G1661" s="514">
        <v>0</v>
      </c>
      <c r="H1661" s="514">
        <v>0</v>
      </c>
      <c r="I1661" s="514">
        <v>0</v>
      </c>
      <c r="J1661" s="514">
        <v>0</v>
      </c>
      <c r="K1661" s="514">
        <v>0</v>
      </c>
      <c r="L1661" s="514">
        <v>0</v>
      </c>
      <c r="M1661" s="514">
        <v>0</v>
      </c>
      <c r="N1661" s="514">
        <v>0</v>
      </c>
      <c r="O1661" s="499"/>
      <c r="P1661" s="499"/>
      <c r="Q1661" s="499"/>
    </row>
    <row r="1662" spans="1:17" ht="14.4" x14ac:dyDescent="0.3">
      <c r="A1662" s="502">
        <v>4892313</v>
      </c>
      <c r="B1662" s="503" t="s">
        <v>3283</v>
      </c>
      <c r="C1662" s="514">
        <v>0</v>
      </c>
      <c r="D1662" s="514">
        <v>0</v>
      </c>
      <c r="E1662" s="514">
        <v>0</v>
      </c>
      <c r="F1662" s="514">
        <v>0</v>
      </c>
      <c r="G1662" s="514">
        <v>0</v>
      </c>
      <c r="H1662" s="514">
        <v>0</v>
      </c>
      <c r="I1662" s="514">
        <v>0</v>
      </c>
      <c r="J1662" s="514">
        <v>0</v>
      </c>
      <c r="K1662" s="514">
        <v>0</v>
      </c>
      <c r="L1662" s="514">
        <v>0</v>
      </c>
      <c r="M1662" s="514">
        <v>0</v>
      </c>
      <c r="N1662" s="514">
        <v>0</v>
      </c>
      <c r="O1662" s="499"/>
      <c r="P1662" s="499"/>
      <c r="Q1662" s="499"/>
    </row>
    <row r="1663" spans="1:17" ht="14.4" x14ac:dyDescent="0.3">
      <c r="A1663" s="502">
        <v>4892314</v>
      </c>
      <c r="B1663" s="503" t="s">
        <v>3284</v>
      </c>
      <c r="C1663" s="514">
        <v>0</v>
      </c>
      <c r="D1663" s="514">
        <v>0</v>
      </c>
      <c r="E1663" s="514">
        <v>0</v>
      </c>
      <c r="F1663" s="514">
        <v>0</v>
      </c>
      <c r="G1663" s="514">
        <v>0</v>
      </c>
      <c r="H1663" s="514">
        <v>0</v>
      </c>
      <c r="I1663" s="514">
        <v>0</v>
      </c>
      <c r="J1663" s="514">
        <v>0</v>
      </c>
      <c r="K1663" s="514">
        <v>0</v>
      </c>
      <c r="L1663" s="514">
        <v>0</v>
      </c>
      <c r="M1663" s="514">
        <v>0</v>
      </c>
      <c r="N1663" s="514">
        <v>0</v>
      </c>
      <c r="O1663" s="499"/>
      <c r="P1663" s="499"/>
      <c r="Q1663" s="499"/>
    </row>
    <row r="1664" spans="1:17" ht="14.4" x14ac:dyDescent="0.3">
      <c r="A1664" s="502">
        <v>4892315</v>
      </c>
      <c r="B1664" s="503" t="s">
        <v>3285</v>
      </c>
      <c r="C1664" s="514">
        <v>0</v>
      </c>
      <c r="D1664" s="514">
        <v>0</v>
      </c>
      <c r="E1664" s="514">
        <v>0</v>
      </c>
      <c r="F1664" s="514">
        <v>0</v>
      </c>
      <c r="G1664" s="514">
        <v>0</v>
      </c>
      <c r="H1664" s="514">
        <v>0</v>
      </c>
      <c r="I1664" s="514">
        <v>0</v>
      </c>
      <c r="J1664" s="514">
        <v>0</v>
      </c>
      <c r="K1664" s="514">
        <v>0</v>
      </c>
      <c r="L1664" s="514">
        <v>0</v>
      </c>
      <c r="M1664" s="514">
        <v>0</v>
      </c>
      <c r="N1664" s="514">
        <v>0</v>
      </c>
      <c r="O1664" s="499"/>
      <c r="P1664" s="499"/>
      <c r="Q1664" s="499"/>
    </row>
    <row r="1665" spans="1:17" ht="14.4" x14ac:dyDescent="0.3">
      <c r="A1665" s="502">
        <v>4892316</v>
      </c>
      <c r="B1665" s="503" t="s">
        <v>3286</v>
      </c>
      <c r="C1665" s="514">
        <v>0</v>
      </c>
      <c r="D1665" s="514">
        <v>0</v>
      </c>
      <c r="E1665" s="514">
        <v>0</v>
      </c>
      <c r="F1665" s="514">
        <v>0</v>
      </c>
      <c r="G1665" s="514">
        <v>0</v>
      </c>
      <c r="H1665" s="514">
        <v>0</v>
      </c>
      <c r="I1665" s="514">
        <v>0</v>
      </c>
      <c r="J1665" s="514">
        <v>0</v>
      </c>
      <c r="K1665" s="514">
        <v>0</v>
      </c>
      <c r="L1665" s="514">
        <v>0</v>
      </c>
      <c r="M1665" s="514">
        <v>0</v>
      </c>
      <c r="N1665" s="514">
        <v>0</v>
      </c>
      <c r="O1665" s="499"/>
      <c r="P1665" s="499"/>
      <c r="Q1665" s="499"/>
    </row>
    <row r="1666" spans="1:17" ht="14.4" x14ac:dyDescent="0.3">
      <c r="A1666" s="502">
        <v>4892318</v>
      </c>
      <c r="B1666" s="503" t="s">
        <v>3287</v>
      </c>
      <c r="C1666" s="514">
        <v>0</v>
      </c>
      <c r="D1666" s="514">
        <v>0</v>
      </c>
      <c r="E1666" s="514">
        <v>0</v>
      </c>
      <c r="F1666" s="514">
        <v>0</v>
      </c>
      <c r="G1666" s="514">
        <v>0</v>
      </c>
      <c r="H1666" s="514">
        <v>0</v>
      </c>
      <c r="I1666" s="514">
        <v>0</v>
      </c>
      <c r="J1666" s="514">
        <v>0</v>
      </c>
      <c r="K1666" s="514">
        <v>0</v>
      </c>
      <c r="L1666" s="514">
        <v>0</v>
      </c>
      <c r="M1666" s="514">
        <v>0</v>
      </c>
      <c r="N1666" s="514">
        <v>0</v>
      </c>
      <c r="O1666" s="499"/>
      <c r="P1666" s="499"/>
      <c r="Q1666" s="499"/>
    </row>
    <row r="1667" spans="1:17" ht="14.4" x14ac:dyDescent="0.3">
      <c r="A1667" s="502">
        <v>4892319</v>
      </c>
      <c r="B1667" s="503" t="s">
        <v>3288</v>
      </c>
      <c r="C1667" s="514">
        <v>0</v>
      </c>
      <c r="D1667" s="514">
        <v>0</v>
      </c>
      <c r="E1667" s="514">
        <v>0</v>
      </c>
      <c r="F1667" s="514">
        <v>0</v>
      </c>
      <c r="G1667" s="514">
        <v>0</v>
      </c>
      <c r="H1667" s="514">
        <v>0</v>
      </c>
      <c r="I1667" s="514">
        <v>0</v>
      </c>
      <c r="J1667" s="514">
        <v>0</v>
      </c>
      <c r="K1667" s="514">
        <v>0</v>
      </c>
      <c r="L1667" s="514">
        <v>0</v>
      </c>
      <c r="M1667" s="514">
        <v>0</v>
      </c>
      <c r="N1667" s="514">
        <v>0</v>
      </c>
      <c r="O1667" s="499"/>
      <c r="P1667" s="499"/>
      <c r="Q1667" s="499"/>
    </row>
    <row r="1668" spans="1:17" ht="14.4" x14ac:dyDescent="0.3">
      <c r="A1668" s="502">
        <v>4892320</v>
      </c>
      <c r="B1668" s="503" t="s">
        <v>3289</v>
      </c>
      <c r="C1668" s="514">
        <v>0</v>
      </c>
      <c r="D1668" s="514">
        <v>0</v>
      </c>
      <c r="E1668" s="514">
        <v>0</v>
      </c>
      <c r="F1668" s="514">
        <v>0</v>
      </c>
      <c r="G1668" s="514">
        <v>0</v>
      </c>
      <c r="H1668" s="514">
        <v>0</v>
      </c>
      <c r="I1668" s="514">
        <v>0</v>
      </c>
      <c r="J1668" s="514">
        <v>0</v>
      </c>
      <c r="K1668" s="514">
        <v>0</v>
      </c>
      <c r="L1668" s="514">
        <v>0</v>
      </c>
      <c r="M1668" s="514">
        <v>0</v>
      </c>
      <c r="N1668" s="514">
        <v>0</v>
      </c>
      <c r="O1668" s="499"/>
      <c r="P1668" s="499"/>
      <c r="Q1668" s="499"/>
    </row>
    <row r="1669" spans="1:17" ht="14.4" x14ac:dyDescent="0.3">
      <c r="A1669" s="502">
        <v>4892382</v>
      </c>
      <c r="B1669" s="503" t="s">
        <v>3290</v>
      </c>
      <c r="C1669" s="514">
        <v>0</v>
      </c>
      <c r="D1669" s="514">
        <v>0</v>
      </c>
      <c r="E1669" s="514">
        <v>0</v>
      </c>
      <c r="F1669" s="514">
        <v>0</v>
      </c>
      <c r="G1669" s="514">
        <v>0</v>
      </c>
      <c r="H1669" s="514">
        <v>0</v>
      </c>
      <c r="I1669" s="514">
        <v>0</v>
      </c>
      <c r="J1669" s="514">
        <v>0</v>
      </c>
      <c r="K1669" s="514">
        <v>0</v>
      </c>
      <c r="L1669" s="514">
        <v>0</v>
      </c>
      <c r="M1669" s="514">
        <v>0</v>
      </c>
      <c r="N1669" s="514">
        <v>0</v>
      </c>
      <c r="O1669" s="499"/>
      <c r="P1669" s="499"/>
      <c r="Q1669" s="499"/>
    </row>
    <row r="1670" spans="1:17" ht="14.4" x14ac:dyDescent="0.3">
      <c r="A1670" s="502">
        <v>4892410</v>
      </c>
      <c r="B1670" s="503" t="s">
        <v>3291</v>
      </c>
      <c r="C1670" s="514">
        <v>0</v>
      </c>
      <c r="D1670" s="514">
        <v>0</v>
      </c>
      <c r="E1670" s="514">
        <v>0</v>
      </c>
      <c r="F1670" s="514">
        <v>0</v>
      </c>
      <c r="G1670" s="514">
        <v>0</v>
      </c>
      <c r="H1670" s="514">
        <v>0</v>
      </c>
      <c r="I1670" s="514">
        <v>0</v>
      </c>
      <c r="J1670" s="514">
        <v>0</v>
      </c>
      <c r="K1670" s="514">
        <v>0</v>
      </c>
      <c r="L1670" s="514">
        <v>0</v>
      </c>
      <c r="M1670" s="514">
        <v>0</v>
      </c>
      <c r="N1670" s="514">
        <v>0</v>
      </c>
      <c r="O1670" s="499"/>
      <c r="P1670" s="499"/>
      <c r="Q1670" s="499"/>
    </row>
    <row r="1671" spans="1:17" ht="14.4" x14ac:dyDescent="0.3">
      <c r="A1671" s="502">
        <v>4892411</v>
      </c>
      <c r="B1671" s="503" t="s">
        <v>3292</v>
      </c>
      <c r="C1671" s="514">
        <v>0</v>
      </c>
      <c r="D1671" s="514">
        <v>0</v>
      </c>
      <c r="E1671" s="514">
        <v>0</v>
      </c>
      <c r="F1671" s="514">
        <v>0</v>
      </c>
      <c r="G1671" s="514">
        <v>0</v>
      </c>
      <c r="H1671" s="514">
        <v>0</v>
      </c>
      <c r="I1671" s="514">
        <v>0</v>
      </c>
      <c r="J1671" s="514">
        <v>0</v>
      </c>
      <c r="K1671" s="514">
        <v>0</v>
      </c>
      <c r="L1671" s="514">
        <v>0</v>
      </c>
      <c r="M1671" s="514">
        <v>0</v>
      </c>
      <c r="N1671" s="514">
        <v>0</v>
      </c>
      <c r="O1671" s="499"/>
      <c r="P1671" s="499"/>
      <c r="Q1671" s="499"/>
    </row>
    <row r="1672" spans="1:17" ht="14.4" x14ac:dyDescent="0.3">
      <c r="A1672" s="502">
        <v>4892412</v>
      </c>
      <c r="B1672" s="503" t="s">
        <v>3293</v>
      </c>
      <c r="C1672" s="514">
        <v>0</v>
      </c>
      <c r="D1672" s="514">
        <v>0</v>
      </c>
      <c r="E1672" s="514">
        <v>0</v>
      </c>
      <c r="F1672" s="514">
        <v>0</v>
      </c>
      <c r="G1672" s="514">
        <v>0</v>
      </c>
      <c r="H1672" s="514">
        <v>0</v>
      </c>
      <c r="I1672" s="514">
        <v>0</v>
      </c>
      <c r="J1672" s="514">
        <v>0</v>
      </c>
      <c r="K1672" s="514">
        <v>0</v>
      </c>
      <c r="L1672" s="514">
        <v>0</v>
      </c>
      <c r="M1672" s="514">
        <v>0</v>
      </c>
      <c r="N1672" s="514">
        <v>0</v>
      </c>
      <c r="O1672" s="499"/>
      <c r="P1672" s="499"/>
      <c r="Q1672" s="499"/>
    </row>
    <row r="1673" spans="1:17" ht="14.4" x14ac:dyDescent="0.3">
      <c r="A1673" s="502">
        <v>4892413</v>
      </c>
      <c r="B1673" s="503" t="s">
        <v>3294</v>
      </c>
      <c r="C1673" s="514">
        <v>0</v>
      </c>
      <c r="D1673" s="514">
        <v>0</v>
      </c>
      <c r="E1673" s="514">
        <v>0</v>
      </c>
      <c r="F1673" s="514">
        <v>0</v>
      </c>
      <c r="G1673" s="514">
        <v>0</v>
      </c>
      <c r="H1673" s="514">
        <v>0</v>
      </c>
      <c r="I1673" s="514">
        <v>0</v>
      </c>
      <c r="J1673" s="514">
        <v>0</v>
      </c>
      <c r="K1673" s="514">
        <v>0</v>
      </c>
      <c r="L1673" s="514">
        <v>0</v>
      </c>
      <c r="M1673" s="514">
        <v>0</v>
      </c>
      <c r="N1673" s="514">
        <v>0</v>
      </c>
      <c r="O1673" s="499"/>
      <c r="P1673" s="499"/>
      <c r="Q1673" s="499"/>
    </row>
    <row r="1674" spans="1:17" ht="14.4" x14ac:dyDescent="0.3">
      <c r="A1674" s="502">
        <v>4892414</v>
      </c>
      <c r="B1674" s="503" t="s">
        <v>3295</v>
      </c>
      <c r="C1674" s="514">
        <v>0</v>
      </c>
      <c r="D1674" s="514">
        <v>0</v>
      </c>
      <c r="E1674" s="514">
        <v>0</v>
      </c>
      <c r="F1674" s="514">
        <v>0</v>
      </c>
      <c r="G1674" s="514">
        <v>0</v>
      </c>
      <c r="H1674" s="514">
        <v>0</v>
      </c>
      <c r="I1674" s="514">
        <v>0</v>
      </c>
      <c r="J1674" s="514">
        <v>0</v>
      </c>
      <c r="K1674" s="514">
        <v>0</v>
      </c>
      <c r="L1674" s="514">
        <v>0</v>
      </c>
      <c r="M1674" s="514">
        <v>0</v>
      </c>
      <c r="N1674" s="514">
        <v>0</v>
      </c>
      <c r="O1674" s="499"/>
      <c r="P1674" s="499"/>
      <c r="Q1674" s="499"/>
    </row>
    <row r="1675" spans="1:17" ht="14.4" x14ac:dyDescent="0.3">
      <c r="A1675" s="502">
        <v>4892415</v>
      </c>
      <c r="B1675" s="503" t="s">
        <v>3296</v>
      </c>
      <c r="C1675" s="514">
        <v>0</v>
      </c>
      <c r="D1675" s="514">
        <v>0</v>
      </c>
      <c r="E1675" s="514">
        <v>0</v>
      </c>
      <c r="F1675" s="514">
        <v>0</v>
      </c>
      <c r="G1675" s="514">
        <v>0</v>
      </c>
      <c r="H1675" s="514">
        <v>0</v>
      </c>
      <c r="I1675" s="514">
        <v>0</v>
      </c>
      <c r="J1675" s="514">
        <v>0</v>
      </c>
      <c r="K1675" s="514">
        <v>0</v>
      </c>
      <c r="L1675" s="514">
        <v>0</v>
      </c>
      <c r="M1675" s="514">
        <v>0</v>
      </c>
      <c r="N1675" s="514">
        <v>0</v>
      </c>
      <c r="O1675" s="499"/>
      <c r="P1675" s="499"/>
      <c r="Q1675" s="499"/>
    </row>
    <row r="1676" spans="1:17" ht="14.4" x14ac:dyDescent="0.3">
      <c r="A1676" s="502">
        <v>4892416</v>
      </c>
      <c r="B1676" s="503" t="s">
        <v>3297</v>
      </c>
      <c r="C1676" s="514">
        <v>0</v>
      </c>
      <c r="D1676" s="514">
        <v>0</v>
      </c>
      <c r="E1676" s="514">
        <v>0</v>
      </c>
      <c r="F1676" s="514">
        <v>0</v>
      </c>
      <c r="G1676" s="514">
        <v>0</v>
      </c>
      <c r="H1676" s="514">
        <v>0</v>
      </c>
      <c r="I1676" s="514">
        <v>0</v>
      </c>
      <c r="J1676" s="514">
        <v>0</v>
      </c>
      <c r="K1676" s="514">
        <v>0</v>
      </c>
      <c r="L1676" s="514">
        <v>0</v>
      </c>
      <c r="M1676" s="514">
        <v>0</v>
      </c>
      <c r="N1676" s="514">
        <v>0</v>
      </c>
      <c r="O1676" s="499"/>
      <c r="P1676" s="499"/>
      <c r="Q1676" s="499"/>
    </row>
    <row r="1677" spans="1:17" ht="14.4" x14ac:dyDescent="0.3">
      <c r="A1677" s="502">
        <v>4892418</v>
      </c>
      <c r="B1677" s="503" t="s">
        <v>3298</v>
      </c>
      <c r="C1677" s="514">
        <v>0</v>
      </c>
      <c r="D1677" s="514">
        <v>0</v>
      </c>
      <c r="E1677" s="514">
        <v>0</v>
      </c>
      <c r="F1677" s="514">
        <v>0</v>
      </c>
      <c r="G1677" s="514">
        <v>0</v>
      </c>
      <c r="H1677" s="514">
        <v>0</v>
      </c>
      <c r="I1677" s="514">
        <v>0</v>
      </c>
      <c r="J1677" s="514">
        <v>0</v>
      </c>
      <c r="K1677" s="514">
        <v>0</v>
      </c>
      <c r="L1677" s="514">
        <v>0</v>
      </c>
      <c r="M1677" s="514">
        <v>0</v>
      </c>
      <c r="N1677" s="514">
        <v>0</v>
      </c>
      <c r="O1677" s="499"/>
      <c r="P1677" s="499"/>
      <c r="Q1677" s="499"/>
    </row>
    <row r="1678" spans="1:17" ht="14.4" x14ac:dyDescent="0.3">
      <c r="A1678" s="502">
        <v>4892419</v>
      </c>
      <c r="B1678" s="503" t="s">
        <v>3299</v>
      </c>
      <c r="C1678" s="514">
        <v>0</v>
      </c>
      <c r="D1678" s="514">
        <v>0</v>
      </c>
      <c r="E1678" s="514">
        <v>0</v>
      </c>
      <c r="F1678" s="514">
        <v>0</v>
      </c>
      <c r="G1678" s="514">
        <v>0</v>
      </c>
      <c r="H1678" s="514">
        <v>0</v>
      </c>
      <c r="I1678" s="514">
        <v>0</v>
      </c>
      <c r="J1678" s="514">
        <v>0</v>
      </c>
      <c r="K1678" s="514">
        <v>0</v>
      </c>
      <c r="L1678" s="514">
        <v>0</v>
      </c>
      <c r="M1678" s="514">
        <v>0</v>
      </c>
      <c r="N1678" s="514">
        <v>0</v>
      </c>
      <c r="O1678" s="499"/>
      <c r="P1678" s="499"/>
      <c r="Q1678" s="499"/>
    </row>
    <row r="1679" spans="1:17" ht="14.4" x14ac:dyDescent="0.3">
      <c r="A1679" s="502">
        <v>4892420</v>
      </c>
      <c r="B1679" s="503" t="s">
        <v>3300</v>
      </c>
      <c r="C1679" s="514">
        <v>0</v>
      </c>
      <c r="D1679" s="514">
        <v>0</v>
      </c>
      <c r="E1679" s="514">
        <v>0</v>
      </c>
      <c r="F1679" s="514">
        <v>0</v>
      </c>
      <c r="G1679" s="514">
        <v>0</v>
      </c>
      <c r="H1679" s="514">
        <v>0</v>
      </c>
      <c r="I1679" s="514">
        <v>0</v>
      </c>
      <c r="J1679" s="514">
        <v>0</v>
      </c>
      <c r="K1679" s="514">
        <v>0</v>
      </c>
      <c r="L1679" s="514">
        <v>0</v>
      </c>
      <c r="M1679" s="514">
        <v>0</v>
      </c>
      <c r="N1679" s="514">
        <v>0</v>
      </c>
      <c r="O1679" s="499"/>
      <c r="P1679" s="499"/>
      <c r="Q1679" s="499"/>
    </row>
    <row r="1680" spans="1:17" ht="14.4" x14ac:dyDescent="0.3">
      <c r="A1680" s="502">
        <v>4892482</v>
      </c>
      <c r="B1680" s="503" t="s">
        <v>3301</v>
      </c>
      <c r="C1680" s="514">
        <v>0</v>
      </c>
      <c r="D1680" s="514">
        <v>0</v>
      </c>
      <c r="E1680" s="514">
        <v>0</v>
      </c>
      <c r="F1680" s="514">
        <v>0</v>
      </c>
      <c r="G1680" s="514">
        <v>0</v>
      </c>
      <c r="H1680" s="514">
        <v>0</v>
      </c>
      <c r="I1680" s="514">
        <v>0</v>
      </c>
      <c r="J1680" s="514">
        <v>0</v>
      </c>
      <c r="K1680" s="514">
        <v>0</v>
      </c>
      <c r="L1680" s="514">
        <v>0</v>
      </c>
      <c r="M1680" s="514">
        <v>0</v>
      </c>
      <c r="N1680" s="514">
        <v>0</v>
      </c>
      <c r="O1680" s="499"/>
      <c r="P1680" s="499"/>
      <c r="Q1680" s="499"/>
    </row>
    <row r="1681" spans="1:17" ht="14.4" x14ac:dyDescent="0.3">
      <c r="A1681" s="502">
        <v>4892510</v>
      </c>
      <c r="B1681" s="503" t="s">
        <v>3302</v>
      </c>
      <c r="C1681" s="514">
        <v>0</v>
      </c>
      <c r="D1681" s="514">
        <v>0</v>
      </c>
      <c r="E1681" s="514">
        <v>0</v>
      </c>
      <c r="F1681" s="514">
        <v>0</v>
      </c>
      <c r="G1681" s="514">
        <v>0</v>
      </c>
      <c r="H1681" s="514">
        <v>0</v>
      </c>
      <c r="I1681" s="514">
        <v>0</v>
      </c>
      <c r="J1681" s="514">
        <v>0</v>
      </c>
      <c r="K1681" s="514">
        <v>0</v>
      </c>
      <c r="L1681" s="514">
        <v>0</v>
      </c>
      <c r="M1681" s="514">
        <v>0</v>
      </c>
      <c r="N1681" s="514">
        <v>0</v>
      </c>
      <c r="O1681" s="499"/>
      <c r="P1681" s="499"/>
      <c r="Q1681" s="499"/>
    </row>
    <row r="1682" spans="1:17" ht="14.4" x14ac:dyDescent="0.3">
      <c r="A1682" s="502">
        <v>4892511</v>
      </c>
      <c r="B1682" s="503" t="s">
        <v>3303</v>
      </c>
      <c r="C1682" s="514">
        <v>0</v>
      </c>
      <c r="D1682" s="514">
        <v>0</v>
      </c>
      <c r="E1682" s="514">
        <v>0</v>
      </c>
      <c r="F1682" s="514">
        <v>0</v>
      </c>
      <c r="G1682" s="514">
        <v>0</v>
      </c>
      <c r="H1682" s="514">
        <v>0</v>
      </c>
      <c r="I1682" s="514">
        <v>0</v>
      </c>
      <c r="J1682" s="514">
        <v>0</v>
      </c>
      <c r="K1682" s="514">
        <v>0</v>
      </c>
      <c r="L1682" s="514">
        <v>0</v>
      </c>
      <c r="M1682" s="514">
        <v>0</v>
      </c>
      <c r="N1682" s="514">
        <v>0</v>
      </c>
      <c r="O1682" s="499"/>
      <c r="P1682" s="499"/>
      <c r="Q1682" s="499"/>
    </row>
    <row r="1683" spans="1:17" ht="14.4" x14ac:dyDescent="0.3">
      <c r="A1683" s="502">
        <v>4892512</v>
      </c>
      <c r="B1683" s="503" t="s">
        <v>3304</v>
      </c>
      <c r="C1683" s="514">
        <v>0</v>
      </c>
      <c r="D1683" s="514">
        <v>0</v>
      </c>
      <c r="E1683" s="514">
        <v>0</v>
      </c>
      <c r="F1683" s="514">
        <v>0</v>
      </c>
      <c r="G1683" s="514">
        <v>0</v>
      </c>
      <c r="H1683" s="514">
        <v>0</v>
      </c>
      <c r="I1683" s="514">
        <v>0</v>
      </c>
      <c r="J1683" s="514">
        <v>0</v>
      </c>
      <c r="K1683" s="514">
        <v>0</v>
      </c>
      <c r="L1683" s="514">
        <v>0</v>
      </c>
      <c r="M1683" s="514">
        <v>0</v>
      </c>
      <c r="N1683" s="514">
        <v>0</v>
      </c>
      <c r="O1683" s="499"/>
      <c r="P1683" s="499"/>
      <c r="Q1683" s="499"/>
    </row>
    <row r="1684" spans="1:17" ht="14.4" x14ac:dyDescent="0.3">
      <c r="A1684" s="502">
        <v>4892513</v>
      </c>
      <c r="B1684" s="503" t="s">
        <v>3305</v>
      </c>
      <c r="C1684" s="514">
        <v>0</v>
      </c>
      <c r="D1684" s="514">
        <v>0</v>
      </c>
      <c r="E1684" s="514">
        <v>0</v>
      </c>
      <c r="F1684" s="514">
        <v>0</v>
      </c>
      <c r="G1684" s="514">
        <v>0</v>
      </c>
      <c r="H1684" s="514">
        <v>0</v>
      </c>
      <c r="I1684" s="514">
        <v>0</v>
      </c>
      <c r="J1684" s="514">
        <v>0</v>
      </c>
      <c r="K1684" s="514">
        <v>0</v>
      </c>
      <c r="L1684" s="514">
        <v>0</v>
      </c>
      <c r="M1684" s="514">
        <v>0</v>
      </c>
      <c r="N1684" s="514">
        <v>0</v>
      </c>
      <c r="O1684" s="499"/>
      <c r="P1684" s="499"/>
      <c r="Q1684" s="499"/>
    </row>
    <row r="1685" spans="1:17" ht="14.4" x14ac:dyDescent="0.3">
      <c r="A1685" s="502">
        <v>4892514</v>
      </c>
      <c r="B1685" s="503" t="s">
        <v>3306</v>
      </c>
      <c r="C1685" s="514">
        <v>0</v>
      </c>
      <c r="D1685" s="514">
        <v>0</v>
      </c>
      <c r="E1685" s="514">
        <v>0</v>
      </c>
      <c r="F1685" s="514">
        <v>0</v>
      </c>
      <c r="G1685" s="514">
        <v>0</v>
      </c>
      <c r="H1685" s="514">
        <v>0</v>
      </c>
      <c r="I1685" s="514">
        <v>0</v>
      </c>
      <c r="J1685" s="514">
        <v>0</v>
      </c>
      <c r="K1685" s="514">
        <v>0</v>
      </c>
      <c r="L1685" s="514">
        <v>0</v>
      </c>
      <c r="M1685" s="514">
        <v>0</v>
      </c>
      <c r="N1685" s="514">
        <v>0</v>
      </c>
      <c r="O1685" s="499"/>
      <c r="P1685" s="499"/>
      <c r="Q1685" s="499"/>
    </row>
    <row r="1686" spans="1:17" ht="14.4" x14ac:dyDescent="0.3">
      <c r="A1686" s="502">
        <v>4892515</v>
      </c>
      <c r="B1686" s="503" t="s">
        <v>3307</v>
      </c>
      <c r="C1686" s="514">
        <v>0</v>
      </c>
      <c r="D1686" s="514">
        <v>0</v>
      </c>
      <c r="E1686" s="514">
        <v>0</v>
      </c>
      <c r="F1686" s="514">
        <v>0</v>
      </c>
      <c r="G1686" s="514">
        <v>0</v>
      </c>
      <c r="H1686" s="514">
        <v>0</v>
      </c>
      <c r="I1686" s="514">
        <v>0</v>
      </c>
      <c r="J1686" s="514">
        <v>0</v>
      </c>
      <c r="K1686" s="514">
        <v>0</v>
      </c>
      <c r="L1686" s="514">
        <v>0</v>
      </c>
      <c r="M1686" s="514">
        <v>0</v>
      </c>
      <c r="N1686" s="514">
        <v>0</v>
      </c>
      <c r="O1686" s="499"/>
      <c r="P1686" s="499"/>
      <c r="Q1686" s="499"/>
    </row>
    <row r="1687" spans="1:17" ht="14.4" x14ac:dyDescent="0.3">
      <c r="A1687" s="502">
        <v>4892516</v>
      </c>
      <c r="B1687" s="503" t="s">
        <v>3308</v>
      </c>
      <c r="C1687" s="514">
        <v>0</v>
      </c>
      <c r="D1687" s="514">
        <v>0</v>
      </c>
      <c r="E1687" s="514">
        <v>0</v>
      </c>
      <c r="F1687" s="514">
        <v>0</v>
      </c>
      <c r="G1687" s="514">
        <v>0</v>
      </c>
      <c r="H1687" s="514">
        <v>0</v>
      </c>
      <c r="I1687" s="514">
        <v>0</v>
      </c>
      <c r="J1687" s="514">
        <v>0</v>
      </c>
      <c r="K1687" s="514">
        <v>0</v>
      </c>
      <c r="L1687" s="514">
        <v>0</v>
      </c>
      <c r="M1687" s="514">
        <v>0</v>
      </c>
      <c r="N1687" s="514">
        <v>0</v>
      </c>
      <c r="O1687" s="499"/>
      <c r="P1687" s="499"/>
      <c r="Q1687" s="499"/>
    </row>
    <row r="1688" spans="1:17" ht="14.4" x14ac:dyDescent="0.3">
      <c r="A1688" s="502">
        <v>4892518</v>
      </c>
      <c r="B1688" s="503" t="s">
        <v>3309</v>
      </c>
      <c r="C1688" s="514">
        <v>0</v>
      </c>
      <c r="D1688" s="514">
        <v>0</v>
      </c>
      <c r="E1688" s="514">
        <v>0</v>
      </c>
      <c r="F1688" s="514">
        <v>0</v>
      </c>
      <c r="G1688" s="514">
        <v>0</v>
      </c>
      <c r="H1688" s="514">
        <v>0</v>
      </c>
      <c r="I1688" s="514">
        <v>0</v>
      </c>
      <c r="J1688" s="514">
        <v>0</v>
      </c>
      <c r="K1688" s="514">
        <v>0</v>
      </c>
      <c r="L1688" s="514">
        <v>0</v>
      </c>
      <c r="M1688" s="514">
        <v>0</v>
      </c>
      <c r="N1688" s="514">
        <v>0</v>
      </c>
      <c r="O1688" s="499"/>
      <c r="P1688" s="499"/>
      <c r="Q1688" s="499"/>
    </row>
    <row r="1689" spans="1:17" ht="14.4" x14ac:dyDescent="0.3">
      <c r="A1689" s="502">
        <v>4892519</v>
      </c>
      <c r="B1689" s="503" t="s">
        <v>3310</v>
      </c>
      <c r="C1689" s="514">
        <v>0</v>
      </c>
      <c r="D1689" s="514">
        <v>0</v>
      </c>
      <c r="E1689" s="514">
        <v>0</v>
      </c>
      <c r="F1689" s="514">
        <v>0</v>
      </c>
      <c r="G1689" s="514">
        <v>0</v>
      </c>
      <c r="H1689" s="514">
        <v>0</v>
      </c>
      <c r="I1689" s="514">
        <v>0</v>
      </c>
      <c r="J1689" s="514">
        <v>0</v>
      </c>
      <c r="K1689" s="514">
        <v>0</v>
      </c>
      <c r="L1689" s="514">
        <v>0</v>
      </c>
      <c r="M1689" s="514">
        <v>0</v>
      </c>
      <c r="N1689" s="514">
        <v>0</v>
      </c>
      <c r="O1689" s="499"/>
      <c r="P1689" s="499"/>
      <c r="Q1689" s="499"/>
    </row>
    <row r="1690" spans="1:17" ht="14.4" x14ac:dyDescent="0.3">
      <c r="A1690" s="502">
        <v>4892520</v>
      </c>
      <c r="B1690" s="503" t="s">
        <v>3311</v>
      </c>
      <c r="C1690" s="514">
        <v>0</v>
      </c>
      <c r="D1690" s="514">
        <v>0</v>
      </c>
      <c r="E1690" s="514">
        <v>0</v>
      </c>
      <c r="F1690" s="514">
        <v>0</v>
      </c>
      <c r="G1690" s="514">
        <v>0</v>
      </c>
      <c r="H1690" s="514">
        <v>0</v>
      </c>
      <c r="I1690" s="514">
        <v>0</v>
      </c>
      <c r="J1690" s="514">
        <v>0</v>
      </c>
      <c r="K1690" s="514">
        <v>0</v>
      </c>
      <c r="L1690" s="514">
        <v>0</v>
      </c>
      <c r="M1690" s="514">
        <v>0</v>
      </c>
      <c r="N1690" s="514">
        <v>0</v>
      </c>
      <c r="O1690" s="499"/>
      <c r="P1690" s="499"/>
      <c r="Q1690" s="499"/>
    </row>
    <row r="1691" spans="1:17" ht="14.4" x14ac:dyDescent="0.3">
      <c r="A1691" s="502">
        <v>4892582</v>
      </c>
      <c r="B1691" s="503" t="s">
        <v>3312</v>
      </c>
      <c r="C1691" s="514">
        <v>0</v>
      </c>
      <c r="D1691" s="514">
        <v>0</v>
      </c>
      <c r="E1691" s="514">
        <v>0</v>
      </c>
      <c r="F1691" s="514">
        <v>0</v>
      </c>
      <c r="G1691" s="514">
        <v>0</v>
      </c>
      <c r="H1691" s="514">
        <v>0</v>
      </c>
      <c r="I1691" s="514">
        <v>0</v>
      </c>
      <c r="J1691" s="514">
        <v>0</v>
      </c>
      <c r="K1691" s="514">
        <v>0</v>
      </c>
      <c r="L1691" s="514">
        <v>0</v>
      </c>
      <c r="M1691" s="514">
        <v>0</v>
      </c>
      <c r="N1691" s="514">
        <v>0</v>
      </c>
      <c r="O1691" s="499"/>
      <c r="P1691" s="499"/>
      <c r="Q1691" s="499"/>
    </row>
    <row r="1692" spans="1:17" ht="14.4" x14ac:dyDescent="0.3">
      <c r="A1692" s="502">
        <v>4893001</v>
      </c>
      <c r="B1692" s="503" t="s">
        <v>3313</v>
      </c>
      <c r="C1692" s="514">
        <v>0</v>
      </c>
      <c r="D1692" s="514">
        <v>0</v>
      </c>
      <c r="E1692" s="514">
        <v>0</v>
      </c>
      <c r="F1692" s="514">
        <v>0</v>
      </c>
      <c r="G1692" s="514">
        <v>0</v>
      </c>
      <c r="H1692" s="514">
        <v>0</v>
      </c>
      <c r="I1692" s="514">
        <v>0</v>
      </c>
      <c r="J1692" s="514">
        <v>0</v>
      </c>
      <c r="K1692" s="514">
        <v>0</v>
      </c>
      <c r="L1692" s="514">
        <v>0</v>
      </c>
      <c r="M1692" s="514">
        <v>0</v>
      </c>
      <c r="N1692" s="514">
        <v>0</v>
      </c>
      <c r="O1692" s="499"/>
      <c r="P1692" s="499"/>
      <c r="Q1692" s="499"/>
    </row>
    <row r="1693" spans="1:17" ht="14.4" x14ac:dyDescent="0.3">
      <c r="A1693" s="502">
        <v>4893002</v>
      </c>
      <c r="B1693" s="503" t="s">
        <v>3314</v>
      </c>
      <c r="C1693" s="514">
        <v>0</v>
      </c>
      <c r="D1693" s="514">
        <v>0</v>
      </c>
      <c r="E1693" s="514">
        <v>0</v>
      </c>
      <c r="F1693" s="514">
        <v>0</v>
      </c>
      <c r="G1693" s="514">
        <v>0</v>
      </c>
      <c r="H1693" s="514">
        <v>0</v>
      </c>
      <c r="I1693" s="514">
        <v>0</v>
      </c>
      <c r="J1693" s="514">
        <v>0</v>
      </c>
      <c r="K1693" s="514">
        <v>0</v>
      </c>
      <c r="L1693" s="514">
        <v>0</v>
      </c>
      <c r="M1693" s="514">
        <v>0</v>
      </c>
      <c r="N1693" s="514">
        <v>0</v>
      </c>
      <c r="O1693" s="499"/>
      <c r="P1693" s="499"/>
      <c r="Q1693" s="499"/>
    </row>
    <row r="1694" spans="1:17" ht="14.4" x14ac:dyDescent="0.3">
      <c r="A1694" s="502">
        <v>4893004</v>
      </c>
      <c r="B1694" s="503" t="s">
        <v>3315</v>
      </c>
      <c r="C1694" s="514">
        <v>0</v>
      </c>
      <c r="D1694" s="514">
        <v>0</v>
      </c>
      <c r="E1694" s="514">
        <v>0</v>
      </c>
      <c r="F1694" s="514">
        <v>0</v>
      </c>
      <c r="G1694" s="514">
        <v>0</v>
      </c>
      <c r="H1694" s="514">
        <v>0</v>
      </c>
      <c r="I1694" s="514">
        <v>0</v>
      </c>
      <c r="J1694" s="514">
        <v>0</v>
      </c>
      <c r="K1694" s="514">
        <v>0</v>
      </c>
      <c r="L1694" s="514">
        <v>0</v>
      </c>
      <c r="M1694" s="514">
        <v>0</v>
      </c>
      <c r="N1694" s="514">
        <v>0</v>
      </c>
      <c r="O1694" s="499"/>
      <c r="P1694" s="499"/>
      <c r="Q1694" s="499"/>
    </row>
    <row r="1695" spans="1:17" ht="14.4" x14ac:dyDescent="0.3">
      <c r="A1695" s="502">
        <v>4893005</v>
      </c>
      <c r="B1695" s="503" t="s">
        <v>3316</v>
      </c>
      <c r="C1695" s="514">
        <v>0</v>
      </c>
      <c r="D1695" s="514">
        <v>0</v>
      </c>
      <c r="E1695" s="514">
        <v>0</v>
      </c>
      <c r="F1695" s="514">
        <v>0</v>
      </c>
      <c r="G1695" s="514">
        <v>0</v>
      </c>
      <c r="H1695" s="514">
        <v>0</v>
      </c>
      <c r="I1695" s="514">
        <v>0</v>
      </c>
      <c r="J1695" s="514">
        <v>0</v>
      </c>
      <c r="K1695" s="514">
        <v>0</v>
      </c>
      <c r="L1695" s="514">
        <v>0</v>
      </c>
      <c r="M1695" s="514">
        <v>0</v>
      </c>
      <c r="N1695" s="514">
        <v>0</v>
      </c>
      <c r="O1695" s="499"/>
      <c r="P1695" s="499"/>
      <c r="Q1695" s="499"/>
    </row>
    <row r="1696" spans="1:17" ht="14.4" x14ac:dyDescent="0.3">
      <c r="A1696" s="502">
        <v>4893008</v>
      </c>
      <c r="B1696" s="503" t="s">
        <v>3317</v>
      </c>
      <c r="C1696" s="514">
        <v>0</v>
      </c>
      <c r="D1696" s="514">
        <v>0</v>
      </c>
      <c r="E1696" s="514">
        <v>0</v>
      </c>
      <c r="F1696" s="514">
        <v>0</v>
      </c>
      <c r="G1696" s="514">
        <v>0</v>
      </c>
      <c r="H1696" s="514">
        <v>0</v>
      </c>
      <c r="I1696" s="514">
        <v>0</v>
      </c>
      <c r="J1696" s="514">
        <v>0</v>
      </c>
      <c r="K1696" s="514">
        <v>0</v>
      </c>
      <c r="L1696" s="514">
        <v>0</v>
      </c>
      <c r="M1696" s="514">
        <v>0</v>
      </c>
      <c r="N1696" s="514">
        <v>0</v>
      </c>
      <c r="O1696" s="499"/>
      <c r="P1696" s="499"/>
      <c r="Q1696" s="499"/>
    </row>
    <row r="1697" spans="1:17" ht="14.4" x14ac:dyDescent="0.3">
      <c r="A1697" s="502">
        <v>4893009</v>
      </c>
      <c r="B1697" s="503" t="s">
        <v>3318</v>
      </c>
      <c r="C1697" s="514">
        <v>0</v>
      </c>
      <c r="D1697" s="514">
        <v>0</v>
      </c>
      <c r="E1697" s="514">
        <v>0</v>
      </c>
      <c r="F1697" s="514">
        <v>0</v>
      </c>
      <c r="G1697" s="514">
        <v>0</v>
      </c>
      <c r="H1697" s="514">
        <v>0</v>
      </c>
      <c r="I1697" s="514">
        <v>0</v>
      </c>
      <c r="J1697" s="514">
        <v>0</v>
      </c>
      <c r="K1697" s="514">
        <v>0</v>
      </c>
      <c r="L1697" s="514">
        <v>0</v>
      </c>
      <c r="M1697" s="514">
        <v>0</v>
      </c>
      <c r="N1697" s="514">
        <v>0</v>
      </c>
      <c r="O1697" s="499"/>
      <c r="P1697" s="499"/>
      <c r="Q1697" s="499"/>
    </row>
    <row r="1698" spans="1:17" ht="14.4" x14ac:dyDescent="0.3">
      <c r="A1698" s="502">
        <v>4893033</v>
      </c>
      <c r="B1698" s="503" t="s">
        <v>3319</v>
      </c>
      <c r="C1698" s="514">
        <v>0</v>
      </c>
      <c r="D1698" s="514">
        <v>0</v>
      </c>
      <c r="E1698" s="514">
        <v>0</v>
      </c>
      <c r="F1698" s="514">
        <v>0</v>
      </c>
      <c r="G1698" s="514">
        <v>0</v>
      </c>
      <c r="H1698" s="514">
        <v>0</v>
      </c>
      <c r="I1698" s="514">
        <v>0</v>
      </c>
      <c r="J1698" s="514">
        <v>0</v>
      </c>
      <c r="K1698" s="514">
        <v>0</v>
      </c>
      <c r="L1698" s="514">
        <v>0</v>
      </c>
      <c r="M1698" s="514">
        <v>0</v>
      </c>
      <c r="N1698" s="514">
        <v>0</v>
      </c>
      <c r="O1698" s="499"/>
      <c r="P1698" s="499"/>
      <c r="Q1698" s="499"/>
    </row>
    <row r="1699" spans="1:17" ht="14.4" x14ac:dyDescent="0.3">
      <c r="A1699" s="502">
        <v>4893034</v>
      </c>
      <c r="B1699" s="503" t="s">
        <v>3320</v>
      </c>
      <c r="C1699" s="514">
        <v>0</v>
      </c>
      <c r="D1699" s="514">
        <v>0</v>
      </c>
      <c r="E1699" s="514">
        <v>0</v>
      </c>
      <c r="F1699" s="514">
        <v>0</v>
      </c>
      <c r="G1699" s="514">
        <v>0</v>
      </c>
      <c r="H1699" s="514">
        <v>0</v>
      </c>
      <c r="I1699" s="514">
        <v>0</v>
      </c>
      <c r="J1699" s="514">
        <v>0</v>
      </c>
      <c r="K1699" s="514">
        <v>0</v>
      </c>
      <c r="L1699" s="514">
        <v>0</v>
      </c>
      <c r="M1699" s="514">
        <v>0</v>
      </c>
      <c r="N1699" s="514">
        <v>0</v>
      </c>
      <c r="O1699" s="499"/>
      <c r="P1699" s="499"/>
      <c r="Q1699" s="499"/>
    </row>
    <row r="1700" spans="1:17" ht="14.4" x14ac:dyDescent="0.3">
      <c r="A1700" s="502">
        <v>4893035</v>
      </c>
      <c r="B1700" s="503" t="s">
        <v>3321</v>
      </c>
      <c r="C1700" s="514">
        <v>0</v>
      </c>
      <c r="D1700" s="514">
        <v>0</v>
      </c>
      <c r="E1700" s="514">
        <v>0</v>
      </c>
      <c r="F1700" s="514">
        <v>0</v>
      </c>
      <c r="G1700" s="514">
        <v>0</v>
      </c>
      <c r="H1700" s="514">
        <v>0</v>
      </c>
      <c r="I1700" s="514">
        <v>0</v>
      </c>
      <c r="J1700" s="514">
        <v>0</v>
      </c>
      <c r="K1700" s="514">
        <v>0</v>
      </c>
      <c r="L1700" s="514">
        <v>0</v>
      </c>
      <c r="M1700" s="514">
        <v>0</v>
      </c>
      <c r="N1700" s="514">
        <v>0</v>
      </c>
      <c r="O1700" s="499"/>
      <c r="P1700" s="499"/>
      <c r="Q1700" s="499"/>
    </row>
    <row r="1701" spans="1:17" ht="14.4" x14ac:dyDescent="0.3">
      <c r="A1701" s="502">
        <v>4893036</v>
      </c>
      <c r="B1701" s="503" t="s">
        <v>3322</v>
      </c>
      <c r="C1701" s="514">
        <v>0</v>
      </c>
      <c r="D1701" s="514">
        <v>0</v>
      </c>
      <c r="E1701" s="514">
        <v>0</v>
      </c>
      <c r="F1701" s="514">
        <v>0</v>
      </c>
      <c r="G1701" s="514">
        <v>0</v>
      </c>
      <c r="H1701" s="514">
        <v>0</v>
      </c>
      <c r="I1701" s="514">
        <v>0</v>
      </c>
      <c r="J1701" s="514">
        <v>0</v>
      </c>
      <c r="K1701" s="514">
        <v>0</v>
      </c>
      <c r="L1701" s="514">
        <v>0</v>
      </c>
      <c r="M1701" s="514">
        <v>0</v>
      </c>
      <c r="N1701" s="514">
        <v>0</v>
      </c>
      <c r="O1701" s="499"/>
      <c r="P1701" s="499"/>
      <c r="Q1701" s="499"/>
    </row>
    <row r="1702" spans="1:17" ht="14.4" x14ac:dyDescent="0.3">
      <c r="A1702" s="502">
        <v>4893037</v>
      </c>
      <c r="B1702" s="503" t="s">
        <v>3323</v>
      </c>
      <c r="C1702" s="514">
        <v>0</v>
      </c>
      <c r="D1702" s="514">
        <v>0</v>
      </c>
      <c r="E1702" s="514">
        <v>0</v>
      </c>
      <c r="F1702" s="514">
        <v>0</v>
      </c>
      <c r="G1702" s="514">
        <v>0</v>
      </c>
      <c r="H1702" s="514">
        <v>0</v>
      </c>
      <c r="I1702" s="514">
        <v>0</v>
      </c>
      <c r="J1702" s="514">
        <v>0</v>
      </c>
      <c r="K1702" s="514">
        <v>0</v>
      </c>
      <c r="L1702" s="514">
        <v>0</v>
      </c>
      <c r="M1702" s="514">
        <v>0</v>
      </c>
      <c r="N1702" s="514">
        <v>0</v>
      </c>
      <c r="O1702" s="499"/>
      <c r="P1702" s="499"/>
      <c r="Q1702" s="499"/>
    </row>
    <row r="1703" spans="1:17" ht="14.4" x14ac:dyDescent="0.3">
      <c r="A1703" s="502">
        <v>4893038</v>
      </c>
      <c r="B1703" s="503" t="s">
        <v>3324</v>
      </c>
      <c r="C1703" s="514">
        <v>0</v>
      </c>
      <c r="D1703" s="514">
        <v>0</v>
      </c>
      <c r="E1703" s="514">
        <v>0</v>
      </c>
      <c r="F1703" s="514">
        <v>0</v>
      </c>
      <c r="G1703" s="514">
        <v>0</v>
      </c>
      <c r="H1703" s="514">
        <v>0</v>
      </c>
      <c r="I1703" s="514">
        <v>0</v>
      </c>
      <c r="J1703" s="514">
        <v>0</v>
      </c>
      <c r="K1703" s="514">
        <v>0</v>
      </c>
      <c r="L1703" s="514">
        <v>0</v>
      </c>
      <c r="M1703" s="514">
        <v>0</v>
      </c>
      <c r="N1703" s="514">
        <v>0</v>
      </c>
      <c r="O1703" s="499"/>
      <c r="P1703" s="499"/>
      <c r="Q1703" s="499"/>
    </row>
    <row r="1704" spans="1:17" ht="14.4" x14ac:dyDescent="0.3">
      <c r="A1704" s="502">
        <v>4893040</v>
      </c>
      <c r="B1704" s="503" t="s">
        <v>3325</v>
      </c>
      <c r="C1704" s="514">
        <v>0</v>
      </c>
      <c r="D1704" s="514">
        <v>0</v>
      </c>
      <c r="E1704" s="514">
        <v>0</v>
      </c>
      <c r="F1704" s="514">
        <v>0</v>
      </c>
      <c r="G1704" s="514">
        <v>0</v>
      </c>
      <c r="H1704" s="514">
        <v>0</v>
      </c>
      <c r="I1704" s="514">
        <v>0</v>
      </c>
      <c r="J1704" s="514">
        <v>0</v>
      </c>
      <c r="K1704" s="514">
        <v>0</v>
      </c>
      <c r="L1704" s="514">
        <v>0</v>
      </c>
      <c r="M1704" s="514">
        <v>0</v>
      </c>
      <c r="N1704" s="514">
        <v>0</v>
      </c>
      <c r="O1704" s="499"/>
      <c r="P1704" s="499"/>
      <c r="Q1704" s="499"/>
    </row>
    <row r="1705" spans="1:17" ht="14.4" x14ac:dyDescent="0.3">
      <c r="A1705" s="502">
        <v>4893041</v>
      </c>
      <c r="B1705" s="503" t="s">
        <v>3326</v>
      </c>
      <c r="C1705" s="514">
        <v>0</v>
      </c>
      <c r="D1705" s="514">
        <v>0</v>
      </c>
      <c r="E1705" s="514">
        <v>0</v>
      </c>
      <c r="F1705" s="514">
        <v>0</v>
      </c>
      <c r="G1705" s="514">
        <v>0</v>
      </c>
      <c r="H1705" s="514">
        <v>0</v>
      </c>
      <c r="I1705" s="514">
        <v>0</v>
      </c>
      <c r="J1705" s="514">
        <v>0</v>
      </c>
      <c r="K1705" s="514">
        <v>0</v>
      </c>
      <c r="L1705" s="514">
        <v>0</v>
      </c>
      <c r="M1705" s="514">
        <v>0</v>
      </c>
      <c r="N1705" s="514">
        <v>0</v>
      </c>
      <c r="O1705" s="499"/>
      <c r="P1705" s="499"/>
      <c r="Q1705" s="499"/>
    </row>
    <row r="1706" spans="1:17" ht="14.4" x14ac:dyDescent="0.3">
      <c r="A1706" s="502">
        <v>4893042</v>
      </c>
      <c r="B1706" s="503" t="s">
        <v>3327</v>
      </c>
      <c r="C1706" s="514">
        <v>0</v>
      </c>
      <c r="D1706" s="514">
        <v>0</v>
      </c>
      <c r="E1706" s="514">
        <v>0</v>
      </c>
      <c r="F1706" s="514">
        <v>0</v>
      </c>
      <c r="G1706" s="514">
        <v>0</v>
      </c>
      <c r="H1706" s="514">
        <v>0</v>
      </c>
      <c r="I1706" s="514">
        <v>0</v>
      </c>
      <c r="J1706" s="514">
        <v>0</v>
      </c>
      <c r="K1706" s="514">
        <v>0</v>
      </c>
      <c r="L1706" s="514">
        <v>0</v>
      </c>
      <c r="M1706" s="514">
        <v>0</v>
      </c>
      <c r="N1706" s="514">
        <v>0</v>
      </c>
      <c r="O1706" s="499"/>
      <c r="P1706" s="499"/>
      <c r="Q1706" s="499"/>
    </row>
    <row r="1707" spans="1:17" ht="14.4" x14ac:dyDescent="0.3">
      <c r="A1707" s="502">
        <v>4893043</v>
      </c>
      <c r="B1707" s="503" t="s">
        <v>3328</v>
      </c>
      <c r="C1707" s="514">
        <v>0</v>
      </c>
      <c r="D1707" s="514">
        <v>0</v>
      </c>
      <c r="E1707" s="514">
        <v>0</v>
      </c>
      <c r="F1707" s="514">
        <v>0</v>
      </c>
      <c r="G1707" s="514">
        <v>0</v>
      </c>
      <c r="H1707" s="514">
        <v>0</v>
      </c>
      <c r="I1707" s="514">
        <v>0</v>
      </c>
      <c r="J1707" s="514">
        <v>0</v>
      </c>
      <c r="K1707" s="514">
        <v>0</v>
      </c>
      <c r="L1707" s="514">
        <v>0</v>
      </c>
      <c r="M1707" s="514">
        <v>0</v>
      </c>
      <c r="N1707" s="514">
        <v>0</v>
      </c>
      <c r="O1707" s="499"/>
      <c r="P1707" s="499"/>
      <c r="Q1707" s="499"/>
    </row>
    <row r="1708" spans="1:17" ht="14.4" x14ac:dyDescent="0.3">
      <c r="A1708" s="502">
        <v>4893044</v>
      </c>
      <c r="B1708" s="503" t="s">
        <v>3329</v>
      </c>
      <c r="C1708" s="514">
        <v>0</v>
      </c>
      <c r="D1708" s="514">
        <v>0</v>
      </c>
      <c r="E1708" s="514">
        <v>0</v>
      </c>
      <c r="F1708" s="514">
        <v>0</v>
      </c>
      <c r="G1708" s="514">
        <v>0</v>
      </c>
      <c r="H1708" s="514">
        <v>0</v>
      </c>
      <c r="I1708" s="514">
        <v>0</v>
      </c>
      <c r="J1708" s="514">
        <v>0</v>
      </c>
      <c r="K1708" s="514">
        <v>0</v>
      </c>
      <c r="L1708" s="514">
        <v>0</v>
      </c>
      <c r="M1708" s="514">
        <v>0</v>
      </c>
      <c r="N1708" s="514">
        <v>0</v>
      </c>
      <c r="O1708" s="499"/>
      <c r="P1708" s="499"/>
      <c r="Q1708" s="499"/>
    </row>
    <row r="1709" spans="1:17" ht="14.4" x14ac:dyDescent="0.3">
      <c r="A1709" s="502">
        <v>4893045</v>
      </c>
      <c r="B1709" s="503" t="s">
        <v>3330</v>
      </c>
      <c r="C1709" s="514">
        <v>0</v>
      </c>
      <c r="D1709" s="514">
        <v>0</v>
      </c>
      <c r="E1709" s="514">
        <v>0</v>
      </c>
      <c r="F1709" s="514">
        <v>0</v>
      </c>
      <c r="G1709" s="514">
        <v>0</v>
      </c>
      <c r="H1709" s="514">
        <v>0</v>
      </c>
      <c r="I1709" s="514">
        <v>0</v>
      </c>
      <c r="J1709" s="514">
        <v>0</v>
      </c>
      <c r="K1709" s="514">
        <v>0</v>
      </c>
      <c r="L1709" s="514">
        <v>0</v>
      </c>
      <c r="M1709" s="514">
        <v>0</v>
      </c>
      <c r="N1709" s="514">
        <v>0</v>
      </c>
      <c r="O1709" s="499"/>
      <c r="P1709" s="499"/>
      <c r="Q1709" s="499"/>
    </row>
    <row r="1710" spans="1:17" ht="14.4" x14ac:dyDescent="0.3">
      <c r="A1710" s="502">
        <v>4893050</v>
      </c>
      <c r="B1710" s="503" t="s">
        <v>3331</v>
      </c>
      <c r="C1710" s="514">
        <v>0</v>
      </c>
      <c r="D1710" s="514">
        <v>0</v>
      </c>
      <c r="E1710" s="514">
        <v>0</v>
      </c>
      <c r="F1710" s="514">
        <v>0</v>
      </c>
      <c r="G1710" s="514">
        <v>0</v>
      </c>
      <c r="H1710" s="514">
        <v>0</v>
      </c>
      <c r="I1710" s="514">
        <v>0</v>
      </c>
      <c r="J1710" s="514">
        <v>0</v>
      </c>
      <c r="K1710" s="514">
        <v>0</v>
      </c>
      <c r="L1710" s="514">
        <v>0</v>
      </c>
      <c r="M1710" s="514">
        <v>0</v>
      </c>
      <c r="N1710" s="514">
        <v>0</v>
      </c>
      <c r="O1710" s="499"/>
      <c r="P1710" s="499"/>
      <c r="Q1710" s="499"/>
    </row>
    <row r="1711" spans="1:17" ht="14.4" x14ac:dyDescent="0.3">
      <c r="A1711" s="502">
        <v>4893051</v>
      </c>
      <c r="B1711" s="503" t="s">
        <v>3332</v>
      </c>
      <c r="C1711" s="514">
        <v>0</v>
      </c>
      <c r="D1711" s="514">
        <v>0</v>
      </c>
      <c r="E1711" s="514">
        <v>0</v>
      </c>
      <c r="F1711" s="514">
        <v>0</v>
      </c>
      <c r="G1711" s="514">
        <v>0</v>
      </c>
      <c r="H1711" s="514">
        <v>0</v>
      </c>
      <c r="I1711" s="514">
        <v>0</v>
      </c>
      <c r="J1711" s="514">
        <v>0</v>
      </c>
      <c r="K1711" s="514">
        <v>0</v>
      </c>
      <c r="L1711" s="514">
        <v>0</v>
      </c>
      <c r="M1711" s="514">
        <v>0</v>
      </c>
      <c r="N1711" s="514">
        <v>0</v>
      </c>
      <c r="O1711" s="499"/>
      <c r="P1711" s="499"/>
      <c r="Q1711" s="499"/>
    </row>
    <row r="1712" spans="1:17" ht="14.4" x14ac:dyDescent="0.3">
      <c r="A1712" s="502">
        <v>4893052</v>
      </c>
      <c r="B1712" s="503" t="s">
        <v>3333</v>
      </c>
      <c r="C1712" s="514">
        <v>0</v>
      </c>
      <c r="D1712" s="514">
        <v>0</v>
      </c>
      <c r="E1712" s="514">
        <v>0</v>
      </c>
      <c r="F1712" s="514">
        <v>0</v>
      </c>
      <c r="G1712" s="514">
        <v>0</v>
      </c>
      <c r="H1712" s="514">
        <v>0</v>
      </c>
      <c r="I1712" s="514">
        <v>0</v>
      </c>
      <c r="J1712" s="514">
        <v>0</v>
      </c>
      <c r="K1712" s="514">
        <v>0</v>
      </c>
      <c r="L1712" s="514">
        <v>0</v>
      </c>
      <c r="M1712" s="514">
        <v>0</v>
      </c>
      <c r="N1712" s="514">
        <v>0</v>
      </c>
      <c r="O1712" s="499"/>
      <c r="P1712" s="499"/>
      <c r="Q1712" s="499"/>
    </row>
    <row r="1713" spans="1:17" ht="14.4" x14ac:dyDescent="0.3">
      <c r="A1713" s="502">
        <v>4893053</v>
      </c>
      <c r="B1713" s="503" t="s">
        <v>3334</v>
      </c>
      <c r="C1713" s="514">
        <v>0</v>
      </c>
      <c r="D1713" s="514">
        <v>0</v>
      </c>
      <c r="E1713" s="514">
        <v>0</v>
      </c>
      <c r="F1713" s="514">
        <v>0</v>
      </c>
      <c r="G1713" s="514">
        <v>0</v>
      </c>
      <c r="H1713" s="514">
        <v>0</v>
      </c>
      <c r="I1713" s="514">
        <v>0</v>
      </c>
      <c r="J1713" s="514">
        <v>0</v>
      </c>
      <c r="K1713" s="514">
        <v>0</v>
      </c>
      <c r="L1713" s="514">
        <v>0</v>
      </c>
      <c r="M1713" s="514">
        <v>0</v>
      </c>
      <c r="N1713" s="514">
        <v>0</v>
      </c>
      <c r="O1713" s="499"/>
      <c r="P1713" s="499"/>
      <c r="Q1713" s="499"/>
    </row>
    <row r="1714" spans="1:17" ht="14.4" x14ac:dyDescent="0.3">
      <c r="A1714" s="502">
        <v>4893054</v>
      </c>
      <c r="B1714" s="503" t="s">
        <v>3335</v>
      </c>
      <c r="C1714" s="514">
        <v>0</v>
      </c>
      <c r="D1714" s="514">
        <v>0</v>
      </c>
      <c r="E1714" s="514">
        <v>0</v>
      </c>
      <c r="F1714" s="514">
        <v>0</v>
      </c>
      <c r="G1714" s="514">
        <v>0</v>
      </c>
      <c r="H1714" s="514">
        <v>0</v>
      </c>
      <c r="I1714" s="514">
        <v>0</v>
      </c>
      <c r="J1714" s="514">
        <v>0</v>
      </c>
      <c r="K1714" s="514">
        <v>0</v>
      </c>
      <c r="L1714" s="514">
        <v>0</v>
      </c>
      <c r="M1714" s="514">
        <v>0</v>
      </c>
      <c r="N1714" s="514">
        <v>0</v>
      </c>
      <c r="O1714" s="499"/>
      <c r="P1714" s="499"/>
      <c r="Q1714" s="499"/>
    </row>
    <row r="1715" spans="1:17" ht="14.4" x14ac:dyDescent="0.3">
      <c r="A1715" s="502">
        <v>4893055</v>
      </c>
      <c r="B1715" s="503" t="s">
        <v>3336</v>
      </c>
      <c r="C1715" s="514">
        <v>0</v>
      </c>
      <c r="D1715" s="514">
        <v>0</v>
      </c>
      <c r="E1715" s="514">
        <v>0</v>
      </c>
      <c r="F1715" s="514">
        <v>0</v>
      </c>
      <c r="G1715" s="514">
        <v>0</v>
      </c>
      <c r="H1715" s="514">
        <v>0</v>
      </c>
      <c r="I1715" s="514">
        <v>0</v>
      </c>
      <c r="J1715" s="514">
        <v>0</v>
      </c>
      <c r="K1715" s="514">
        <v>0</v>
      </c>
      <c r="L1715" s="514">
        <v>0</v>
      </c>
      <c r="M1715" s="514">
        <v>0</v>
      </c>
      <c r="N1715" s="514">
        <v>0</v>
      </c>
      <c r="O1715" s="499"/>
      <c r="P1715" s="499"/>
      <c r="Q1715" s="499"/>
    </row>
    <row r="1716" spans="1:17" ht="14.4" x14ac:dyDescent="0.3">
      <c r="A1716" s="502">
        <v>4893056</v>
      </c>
      <c r="B1716" s="503" t="s">
        <v>3337</v>
      </c>
      <c r="C1716" s="514">
        <v>0</v>
      </c>
      <c r="D1716" s="514">
        <v>0</v>
      </c>
      <c r="E1716" s="514">
        <v>0</v>
      </c>
      <c r="F1716" s="514">
        <v>0</v>
      </c>
      <c r="G1716" s="514">
        <v>0</v>
      </c>
      <c r="H1716" s="514">
        <v>0</v>
      </c>
      <c r="I1716" s="514">
        <v>0</v>
      </c>
      <c r="J1716" s="514">
        <v>0</v>
      </c>
      <c r="K1716" s="514">
        <v>0</v>
      </c>
      <c r="L1716" s="514">
        <v>0</v>
      </c>
      <c r="M1716" s="514">
        <v>0</v>
      </c>
      <c r="N1716" s="514">
        <v>0</v>
      </c>
      <c r="O1716" s="499"/>
      <c r="P1716" s="499"/>
      <c r="Q1716" s="499"/>
    </row>
    <row r="1717" spans="1:17" ht="14.4" x14ac:dyDescent="0.3">
      <c r="A1717" s="502">
        <v>4893057</v>
      </c>
      <c r="B1717" s="503" t="s">
        <v>3338</v>
      </c>
      <c r="C1717" s="514">
        <v>0</v>
      </c>
      <c r="D1717" s="514">
        <v>0</v>
      </c>
      <c r="E1717" s="514">
        <v>0</v>
      </c>
      <c r="F1717" s="514">
        <v>0</v>
      </c>
      <c r="G1717" s="514">
        <v>0</v>
      </c>
      <c r="H1717" s="514">
        <v>0</v>
      </c>
      <c r="I1717" s="514">
        <v>0</v>
      </c>
      <c r="J1717" s="514">
        <v>0</v>
      </c>
      <c r="K1717" s="514">
        <v>0</v>
      </c>
      <c r="L1717" s="514">
        <v>0</v>
      </c>
      <c r="M1717" s="514">
        <v>0</v>
      </c>
      <c r="N1717" s="514">
        <v>0</v>
      </c>
      <c r="O1717" s="499"/>
      <c r="P1717" s="499"/>
      <c r="Q1717" s="499"/>
    </row>
    <row r="1718" spans="1:17" ht="14.4" x14ac:dyDescent="0.3">
      <c r="A1718" s="502">
        <v>4893058</v>
      </c>
      <c r="B1718" s="503" t="s">
        <v>3339</v>
      </c>
      <c r="C1718" s="514">
        <v>0</v>
      </c>
      <c r="D1718" s="514">
        <v>0</v>
      </c>
      <c r="E1718" s="514">
        <v>0</v>
      </c>
      <c r="F1718" s="514">
        <v>0</v>
      </c>
      <c r="G1718" s="514">
        <v>0</v>
      </c>
      <c r="H1718" s="514">
        <v>0</v>
      </c>
      <c r="I1718" s="514">
        <v>0</v>
      </c>
      <c r="J1718" s="514">
        <v>0</v>
      </c>
      <c r="K1718" s="514">
        <v>0</v>
      </c>
      <c r="L1718" s="514">
        <v>0</v>
      </c>
      <c r="M1718" s="514">
        <v>0</v>
      </c>
      <c r="N1718" s="514">
        <v>0</v>
      </c>
      <c r="O1718" s="499"/>
      <c r="P1718" s="499"/>
      <c r="Q1718" s="499"/>
    </row>
    <row r="1719" spans="1:17" ht="14.4" x14ac:dyDescent="0.3">
      <c r="A1719" s="502">
        <v>4893059</v>
      </c>
      <c r="B1719" s="503" t="s">
        <v>3340</v>
      </c>
      <c r="C1719" s="514">
        <v>0</v>
      </c>
      <c r="D1719" s="514">
        <v>0</v>
      </c>
      <c r="E1719" s="514">
        <v>0</v>
      </c>
      <c r="F1719" s="514">
        <v>0</v>
      </c>
      <c r="G1719" s="514">
        <v>0</v>
      </c>
      <c r="H1719" s="514">
        <v>0</v>
      </c>
      <c r="I1719" s="514">
        <v>0</v>
      </c>
      <c r="J1719" s="514">
        <v>0</v>
      </c>
      <c r="K1719" s="514">
        <v>0</v>
      </c>
      <c r="L1719" s="514">
        <v>0</v>
      </c>
      <c r="M1719" s="514">
        <v>0</v>
      </c>
      <c r="N1719" s="514">
        <v>0</v>
      </c>
      <c r="O1719" s="499"/>
      <c r="P1719" s="499"/>
      <c r="Q1719" s="499"/>
    </row>
    <row r="1720" spans="1:17" ht="14.4" x14ac:dyDescent="0.3">
      <c r="A1720" s="502">
        <v>4893060</v>
      </c>
      <c r="B1720" s="503" t="s">
        <v>3341</v>
      </c>
      <c r="C1720" s="514">
        <v>0</v>
      </c>
      <c r="D1720" s="514">
        <v>0</v>
      </c>
      <c r="E1720" s="514">
        <v>0</v>
      </c>
      <c r="F1720" s="514">
        <v>0</v>
      </c>
      <c r="G1720" s="514">
        <v>0</v>
      </c>
      <c r="H1720" s="514">
        <v>0</v>
      </c>
      <c r="I1720" s="514">
        <v>0</v>
      </c>
      <c r="J1720" s="514">
        <v>0</v>
      </c>
      <c r="K1720" s="514">
        <v>0</v>
      </c>
      <c r="L1720" s="514">
        <v>0</v>
      </c>
      <c r="M1720" s="514">
        <v>0</v>
      </c>
      <c r="N1720" s="514">
        <v>0</v>
      </c>
      <c r="O1720" s="499"/>
      <c r="P1720" s="499"/>
      <c r="Q1720" s="499"/>
    </row>
    <row r="1721" spans="1:17" ht="14.4" x14ac:dyDescent="0.3">
      <c r="A1721" s="502">
        <v>4893070</v>
      </c>
      <c r="B1721" s="503" t="s">
        <v>3342</v>
      </c>
      <c r="C1721" s="514">
        <v>0</v>
      </c>
      <c r="D1721" s="514">
        <v>0</v>
      </c>
      <c r="E1721" s="514">
        <v>0</v>
      </c>
      <c r="F1721" s="514">
        <v>0</v>
      </c>
      <c r="G1721" s="514">
        <v>0</v>
      </c>
      <c r="H1721" s="514">
        <v>0</v>
      </c>
      <c r="I1721" s="514">
        <v>0</v>
      </c>
      <c r="J1721" s="514">
        <v>0</v>
      </c>
      <c r="K1721" s="514">
        <v>0</v>
      </c>
      <c r="L1721" s="514">
        <v>0</v>
      </c>
      <c r="M1721" s="514">
        <v>0</v>
      </c>
      <c r="N1721" s="514">
        <v>0</v>
      </c>
      <c r="O1721" s="499"/>
      <c r="P1721" s="499"/>
      <c r="Q1721" s="499"/>
    </row>
    <row r="1722" spans="1:17" ht="14.4" x14ac:dyDescent="0.3">
      <c r="A1722" s="502">
        <v>4893080</v>
      </c>
      <c r="B1722" s="503" t="s">
        <v>3343</v>
      </c>
      <c r="C1722" s="514">
        <v>0</v>
      </c>
      <c r="D1722" s="514">
        <v>0</v>
      </c>
      <c r="E1722" s="514">
        <v>0</v>
      </c>
      <c r="F1722" s="514">
        <v>0</v>
      </c>
      <c r="G1722" s="514">
        <v>0</v>
      </c>
      <c r="H1722" s="514">
        <v>0</v>
      </c>
      <c r="I1722" s="514">
        <v>0</v>
      </c>
      <c r="J1722" s="514">
        <v>0</v>
      </c>
      <c r="K1722" s="514">
        <v>0</v>
      </c>
      <c r="L1722" s="514">
        <v>0</v>
      </c>
      <c r="M1722" s="514">
        <v>0</v>
      </c>
      <c r="N1722" s="514">
        <v>0</v>
      </c>
      <c r="O1722" s="499"/>
      <c r="P1722" s="499"/>
      <c r="Q1722" s="499"/>
    </row>
    <row r="1723" spans="1:17" ht="14.4" x14ac:dyDescent="0.3">
      <c r="A1723" s="502">
        <v>4893090</v>
      </c>
      <c r="B1723" s="503" t="s">
        <v>3344</v>
      </c>
      <c r="C1723" s="514">
        <v>0</v>
      </c>
      <c r="D1723" s="514">
        <v>0</v>
      </c>
      <c r="E1723" s="514">
        <v>0</v>
      </c>
      <c r="F1723" s="514">
        <v>0</v>
      </c>
      <c r="G1723" s="514">
        <v>0</v>
      </c>
      <c r="H1723" s="514">
        <v>0</v>
      </c>
      <c r="I1723" s="514">
        <v>0</v>
      </c>
      <c r="J1723" s="514">
        <v>0</v>
      </c>
      <c r="K1723" s="514">
        <v>0</v>
      </c>
      <c r="L1723" s="514">
        <v>0</v>
      </c>
      <c r="M1723" s="514">
        <v>0</v>
      </c>
      <c r="N1723" s="514">
        <v>0</v>
      </c>
      <c r="O1723" s="499"/>
      <c r="P1723" s="499"/>
      <c r="Q1723" s="499"/>
    </row>
    <row r="1724" spans="1:17" ht="14.4" x14ac:dyDescent="0.3">
      <c r="A1724" s="502">
        <v>4893110</v>
      </c>
      <c r="B1724" s="503" t="s">
        <v>3345</v>
      </c>
      <c r="C1724" s="514">
        <v>0</v>
      </c>
      <c r="D1724" s="514">
        <v>0</v>
      </c>
      <c r="E1724" s="514">
        <v>0</v>
      </c>
      <c r="F1724" s="514">
        <v>0</v>
      </c>
      <c r="G1724" s="514">
        <v>0</v>
      </c>
      <c r="H1724" s="514">
        <v>0</v>
      </c>
      <c r="I1724" s="514">
        <v>0</v>
      </c>
      <c r="J1724" s="514">
        <v>0</v>
      </c>
      <c r="K1724" s="514">
        <v>0</v>
      </c>
      <c r="L1724" s="514">
        <v>0</v>
      </c>
      <c r="M1724" s="514">
        <v>0</v>
      </c>
      <c r="N1724" s="514">
        <v>0</v>
      </c>
      <c r="O1724" s="499"/>
      <c r="P1724" s="499"/>
      <c r="Q1724" s="499"/>
    </row>
    <row r="1725" spans="1:17" ht="14.4" x14ac:dyDescent="0.3">
      <c r="A1725" s="502">
        <v>4893111</v>
      </c>
      <c r="B1725" s="503" t="s">
        <v>3346</v>
      </c>
      <c r="C1725" s="514">
        <v>0</v>
      </c>
      <c r="D1725" s="514">
        <v>0</v>
      </c>
      <c r="E1725" s="514">
        <v>0</v>
      </c>
      <c r="F1725" s="514">
        <v>0</v>
      </c>
      <c r="G1725" s="514">
        <v>0</v>
      </c>
      <c r="H1725" s="514">
        <v>0</v>
      </c>
      <c r="I1725" s="514">
        <v>0</v>
      </c>
      <c r="J1725" s="514">
        <v>0</v>
      </c>
      <c r="K1725" s="514">
        <v>0</v>
      </c>
      <c r="L1725" s="514">
        <v>0</v>
      </c>
      <c r="M1725" s="514">
        <v>0</v>
      </c>
      <c r="N1725" s="514">
        <v>0</v>
      </c>
      <c r="O1725" s="499"/>
      <c r="P1725" s="499"/>
      <c r="Q1725" s="499"/>
    </row>
    <row r="1726" spans="1:17" ht="14.4" x14ac:dyDescent="0.3">
      <c r="A1726" s="502">
        <v>4893112</v>
      </c>
      <c r="B1726" s="503" t="s">
        <v>3347</v>
      </c>
      <c r="C1726" s="514">
        <v>0</v>
      </c>
      <c r="D1726" s="514">
        <v>0</v>
      </c>
      <c r="E1726" s="514">
        <v>0</v>
      </c>
      <c r="F1726" s="514">
        <v>0</v>
      </c>
      <c r="G1726" s="514">
        <v>0</v>
      </c>
      <c r="H1726" s="514">
        <v>0</v>
      </c>
      <c r="I1726" s="514">
        <v>0</v>
      </c>
      <c r="J1726" s="514">
        <v>0</v>
      </c>
      <c r="K1726" s="514">
        <v>0</v>
      </c>
      <c r="L1726" s="514">
        <v>0</v>
      </c>
      <c r="M1726" s="514">
        <v>0</v>
      </c>
      <c r="N1726" s="514">
        <v>0</v>
      </c>
      <c r="O1726" s="499"/>
      <c r="P1726" s="499"/>
      <c r="Q1726" s="499"/>
    </row>
    <row r="1727" spans="1:17" ht="14.4" x14ac:dyDescent="0.3">
      <c r="A1727" s="502">
        <v>4893113</v>
      </c>
      <c r="B1727" s="503" t="s">
        <v>3348</v>
      </c>
      <c r="C1727" s="514">
        <v>0</v>
      </c>
      <c r="D1727" s="514">
        <v>0</v>
      </c>
      <c r="E1727" s="514">
        <v>0</v>
      </c>
      <c r="F1727" s="514">
        <v>0</v>
      </c>
      <c r="G1727" s="514">
        <v>0</v>
      </c>
      <c r="H1727" s="514">
        <v>0</v>
      </c>
      <c r="I1727" s="514">
        <v>0</v>
      </c>
      <c r="J1727" s="514">
        <v>0</v>
      </c>
      <c r="K1727" s="514">
        <v>0</v>
      </c>
      <c r="L1727" s="514">
        <v>0</v>
      </c>
      <c r="M1727" s="514">
        <v>0</v>
      </c>
      <c r="N1727" s="514">
        <v>0</v>
      </c>
      <c r="O1727" s="499"/>
      <c r="P1727" s="499"/>
      <c r="Q1727" s="499"/>
    </row>
    <row r="1728" spans="1:17" ht="14.4" x14ac:dyDescent="0.3">
      <c r="A1728" s="502">
        <v>4893114</v>
      </c>
      <c r="B1728" s="503" t="s">
        <v>3349</v>
      </c>
      <c r="C1728" s="514">
        <v>0</v>
      </c>
      <c r="D1728" s="514">
        <v>0</v>
      </c>
      <c r="E1728" s="514">
        <v>0</v>
      </c>
      <c r="F1728" s="514">
        <v>0</v>
      </c>
      <c r="G1728" s="514">
        <v>0</v>
      </c>
      <c r="H1728" s="514">
        <v>0</v>
      </c>
      <c r="I1728" s="514">
        <v>0</v>
      </c>
      <c r="J1728" s="514">
        <v>0</v>
      </c>
      <c r="K1728" s="514">
        <v>0</v>
      </c>
      <c r="L1728" s="514">
        <v>0</v>
      </c>
      <c r="M1728" s="514">
        <v>0</v>
      </c>
      <c r="N1728" s="514">
        <v>0</v>
      </c>
      <c r="O1728" s="499"/>
      <c r="P1728" s="499"/>
      <c r="Q1728" s="499"/>
    </row>
    <row r="1729" spans="1:17" ht="14.4" x14ac:dyDescent="0.3">
      <c r="A1729" s="502">
        <v>4893115</v>
      </c>
      <c r="B1729" s="503" t="s">
        <v>3350</v>
      </c>
      <c r="C1729" s="514">
        <v>0</v>
      </c>
      <c r="D1729" s="514">
        <v>0</v>
      </c>
      <c r="E1729" s="514">
        <v>0</v>
      </c>
      <c r="F1729" s="514">
        <v>0</v>
      </c>
      <c r="G1729" s="514">
        <v>0</v>
      </c>
      <c r="H1729" s="514">
        <v>0</v>
      </c>
      <c r="I1729" s="514">
        <v>0</v>
      </c>
      <c r="J1729" s="514">
        <v>0</v>
      </c>
      <c r="K1729" s="514">
        <v>0</v>
      </c>
      <c r="L1729" s="514">
        <v>0</v>
      </c>
      <c r="M1729" s="514">
        <v>0</v>
      </c>
      <c r="N1729" s="514">
        <v>0</v>
      </c>
      <c r="O1729" s="499"/>
      <c r="P1729" s="499"/>
      <c r="Q1729" s="499"/>
    </row>
    <row r="1730" spans="1:17" ht="14.4" x14ac:dyDescent="0.3">
      <c r="A1730" s="502">
        <v>4893116</v>
      </c>
      <c r="B1730" s="503" t="s">
        <v>3351</v>
      </c>
      <c r="C1730" s="514">
        <v>0</v>
      </c>
      <c r="D1730" s="514">
        <v>0</v>
      </c>
      <c r="E1730" s="514">
        <v>0</v>
      </c>
      <c r="F1730" s="514">
        <v>0</v>
      </c>
      <c r="G1730" s="514">
        <v>0</v>
      </c>
      <c r="H1730" s="514">
        <v>0</v>
      </c>
      <c r="I1730" s="514">
        <v>0</v>
      </c>
      <c r="J1730" s="514">
        <v>0</v>
      </c>
      <c r="K1730" s="514">
        <v>0</v>
      </c>
      <c r="L1730" s="514">
        <v>0</v>
      </c>
      <c r="M1730" s="514">
        <v>0</v>
      </c>
      <c r="N1730" s="514">
        <v>0</v>
      </c>
      <c r="O1730" s="499"/>
      <c r="P1730" s="499"/>
      <c r="Q1730" s="499"/>
    </row>
    <row r="1731" spans="1:17" ht="14.4" x14ac:dyDescent="0.3">
      <c r="A1731" s="502">
        <v>4893117</v>
      </c>
      <c r="B1731" s="503" t="s">
        <v>3352</v>
      </c>
      <c r="C1731" s="514">
        <v>0</v>
      </c>
      <c r="D1731" s="514">
        <v>0</v>
      </c>
      <c r="E1731" s="514">
        <v>0</v>
      </c>
      <c r="F1731" s="514">
        <v>0</v>
      </c>
      <c r="G1731" s="514">
        <v>0</v>
      </c>
      <c r="H1731" s="514">
        <v>0</v>
      </c>
      <c r="I1731" s="514">
        <v>0</v>
      </c>
      <c r="J1731" s="514">
        <v>0</v>
      </c>
      <c r="K1731" s="514">
        <v>0</v>
      </c>
      <c r="L1731" s="514">
        <v>0</v>
      </c>
      <c r="M1731" s="514">
        <v>0</v>
      </c>
      <c r="N1731" s="514">
        <v>0</v>
      </c>
      <c r="O1731" s="499"/>
      <c r="P1731" s="499"/>
      <c r="Q1731" s="499"/>
    </row>
    <row r="1732" spans="1:17" ht="14.4" x14ac:dyDescent="0.3">
      <c r="A1732" s="502">
        <v>4893120</v>
      </c>
      <c r="B1732" s="503" t="s">
        <v>3353</v>
      </c>
      <c r="C1732" s="514">
        <v>0</v>
      </c>
      <c r="D1732" s="514">
        <v>0</v>
      </c>
      <c r="E1732" s="514">
        <v>0</v>
      </c>
      <c r="F1732" s="514">
        <v>0</v>
      </c>
      <c r="G1732" s="514">
        <v>0</v>
      </c>
      <c r="H1732" s="514">
        <v>0</v>
      </c>
      <c r="I1732" s="514">
        <v>0</v>
      </c>
      <c r="J1732" s="514">
        <v>0</v>
      </c>
      <c r="K1732" s="514">
        <v>0</v>
      </c>
      <c r="L1732" s="514">
        <v>0</v>
      </c>
      <c r="M1732" s="514">
        <v>0</v>
      </c>
      <c r="N1732" s="514">
        <v>0</v>
      </c>
      <c r="O1732" s="499"/>
      <c r="P1732" s="499"/>
      <c r="Q1732" s="499"/>
    </row>
    <row r="1733" spans="1:17" ht="14.4" x14ac:dyDescent="0.3">
      <c r="A1733" s="502">
        <v>4893182</v>
      </c>
      <c r="B1733" s="503" t="s">
        <v>3354</v>
      </c>
      <c r="C1733" s="514">
        <v>0</v>
      </c>
      <c r="D1733" s="514">
        <v>0</v>
      </c>
      <c r="E1733" s="514">
        <v>0</v>
      </c>
      <c r="F1733" s="514">
        <v>0</v>
      </c>
      <c r="G1733" s="514">
        <v>0</v>
      </c>
      <c r="H1733" s="514">
        <v>0</v>
      </c>
      <c r="I1733" s="514">
        <v>0</v>
      </c>
      <c r="J1733" s="514">
        <v>0</v>
      </c>
      <c r="K1733" s="514">
        <v>0</v>
      </c>
      <c r="L1733" s="514">
        <v>0</v>
      </c>
      <c r="M1733" s="514">
        <v>0</v>
      </c>
      <c r="N1733" s="514">
        <v>0</v>
      </c>
      <c r="O1733" s="499"/>
      <c r="P1733" s="499"/>
      <c r="Q1733" s="499"/>
    </row>
    <row r="1734" spans="1:17" ht="14.4" x14ac:dyDescent="0.3">
      <c r="A1734" s="502">
        <v>4893210</v>
      </c>
      <c r="B1734" s="503" t="s">
        <v>3355</v>
      </c>
      <c r="C1734" s="514">
        <v>0</v>
      </c>
      <c r="D1734" s="514">
        <v>0</v>
      </c>
      <c r="E1734" s="514">
        <v>0</v>
      </c>
      <c r="F1734" s="514">
        <v>0</v>
      </c>
      <c r="G1734" s="514">
        <v>0</v>
      </c>
      <c r="H1734" s="514">
        <v>0</v>
      </c>
      <c r="I1734" s="514">
        <v>0</v>
      </c>
      <c r="J1734" s="514">
        <v>0</v>
      </c>
      <c r="K1734" s="514">
        <v>0</v>
      </c>
      <c r="L1734" s="514">
        <v>0</v>
      </c>
      <c r="M1734" s="514">
        <v>0</v>
      </c>
      <c r="N1734" s="514">
        <v>0</v>
      </c>
      <c r="O1734" s="499"/>
      <c r="P1734" s="499"/>
      <c r="Q1734" s="499"/>
    </row>
    <row r="1735" spans="1:17" ht="14.4" x14ac:dyDescent="0.3">
      <c r="A1735" s="502">
        <v>4893211</v>
      </c>
      <c r="B1735" s="503" t="s">
        <v>3356</v>
      </c>
      <c r="C1735" s="514">
        <v>0</v>
      </c>
      <c r="D1735" s="514">
        <v>0</v>
      </c>
      <c r="E1735" s="514">
        <v>0</v>
      </c>
      <c r="F1735" s="514">
        <v>0</v>
      </c>
      <c r="G1735" s="514">
        <v>0</v>
      </c>
      <c r="H1735" s="514">
        <v>0</v>
      </c>
      <c r="I1735" s="514">
        <v>0</v>
      </c>
      <c r="J1735" s="514">
        <v>0</v>
      </c>
      <c r="K1735" s="514">
        <v>0</v>
      </c>
      <c r="L1735" s="514">
        <v>0</v>
      </c>
      <c r="M1735" s="514">
        <v>0</v>
      </c>
      <c r="N1735" s="514">
        <v>0</v>
      </c>
      <c r="O1735" s="499"/>
      <c r="P1735" s="499"/>
      <c r="Q1735" s="499"/>
    </row>
    <row r="1736" spans="1:17" ht="14.4" x14ac:dyDescent="0.3">
      <c r="A1736" s="502">
        <v>4893212</v>
      </c>
      <c r="B1736" s="503" t="s">
        <v>3357</v>
      </c>
      <c r="C1736" s="514">
        <v>0</v>
      </c>
      <c r="D1736" s="514">
        <v>0</v>
      </c>
      <c r="E1736" s="514">
        <v>0</v>
      </c>
      <c r="F1736" s="514">
        <v>0</v>
      </c>
      <c r="G1736" s="514">
        <v>0</v>
      </c>
      <c r="H1736" s="514">
        <v>0</v>
      </c>
      <c r="I1736" s="514">
        <v>0</v>
      </c>
      <c r="J1736" s="514">
        <v>0</v>
      </c>
      <c r="K1736" s="514">
        <v>0</v>
      </c>
      <c r="L1736" s="514">
        <v>0</v>
      </c>
      <c r="M1736" s="514">
        <v>0</v>
      </c>
      <c r="N1736" s="514">
        <v>0</v>
      </c>
      <c r="O1736" s="499"/>
      <c r="P1736" s="499"/>
      <c r="Q1736" s="499"/>
    </row>
    <row r="1737" spans="1:17" ht="14.4" x14ac:dyDescent="0.3">
      <c r="A1737" s="502">
        <v>4893213</v>
      </c>
      <c r="B1737" s="503" t="s">
        <v>3358</v>
      </c>
      <c r="C1737" s="514">
        <v>0</v>
      </c>
      <c r="D1737" s="514">
        <v>0</v>
      </c>
      <c r="E1737" s="514">
        <v>0</v>
      </c>
      <c r="F1737" s="514">
        <v>0</v>
      </c>
      <c r="G1737" s="514">
        <v>0</v>
      </c>
      <c r="H1737" s="514">
        <v>0</v>
      </c>
      <c r="I1737" s="514">
        <v>0</v>
      </c>
      <c r="J1737" s="514">
        <v>0</v>
      </c>
      <c r="K1737" s="514">
        <v>0</v>
      </c>
      <c r="L1737" s="514">
        <v>0</v>
      </c>
      <c r="M1737" s="514">
        <v>0</v>
      </c>
      <c r="N1737" s="514">
        <v>0</v>
      </c>
      <c r="O1737" s="499"/>
      <c r="P1737" s="499"/>
      <c r="Q1737" s="499"/>
    </row>
    <row r="1738" spans="1:17" ht="14.4" x14ac:dyDescent="0.3">
      <c r="A1738" s="502">
        <v>4893214</v>
      </c>
      <c r="B1738" s="503" t="s">
        <v>3359</v>
      </c>
      <c r="C1738" s="514">
        <v>0</v>
      </c>
      <c r="D1738" s="514">
        <v>0</v>
      </c>
      <c r="E1738" s="514">
        <v>0</v>
      </c>
      <c r="F1738" s="514">
        <v>0</v>
      </c>
      <c r="G1738" s="514">
        <v>0</v>
      </c>
      <c r="H1738" s="514">
        <v>0</v>
      </c>
      <c r="I1738" s="514">
        <v>0</v>
      </c>
      <c r="J1738" s="514">
        <v>0</v>
      </c>
      <c r="K1738" s="514">
        <v>0</v>
      </c>
      <c r="L1738" s="514">
        <v>0</v>
      </c>
      <c r="M1738" s="514">
        <v>0</v>
      </c>
      <c r="N1738" s="514">
        <v>0</v>
      </c>
      <c r="O1738" s="499"/>
      <c r="P1738" s="499"/>
      <c r="Q1738" s="499"/>
    </row>
    <row r="1739" spans="1:17" ht="14.4" x14ac:dyDescent="0.3">
      <c r="A1739" s="502">
        <v>4893215</v>
      </c>
      <c r="B1739" s="503" t="s">
        <v>3360</v>
      </c>
      <c r="C1739" s="514">
        <v>0</v>
      </c>
      <c r="D1739" s="514">
        <v>0</v>
      </c>
      <c r="E1739" s="514">
        <v>0</v>
      </c>
      <c r="F1739" s="514">
        <v>0</v>
      </c>
      <c r="G1739" s="514">
        <v>0</v>
      </c>
      <c r="H1739" s="514">
        <v>0</v>
      </c>
      <c r="I1739" s="514">
        <v>0</v>
      </c>
      <c r="J1739" s="514">
        <v>0</v>
      </c>
      <c r="K1739" s="514">
        <v>0</v>
      </c>
      <c r="L1739" s="514">
        <v>0</v>
      </c>
      <c r="M1739" s="514">
        <v>0</v>
      </c>
      <c r="N1739" s="514">
        <v>0</v>
      </c>
      <c r="O1739" s="499"/>
      <c r="P1739" s="499"/>
      <c r="Q1739" s="499"/>
    </row>
    <row r="1740" spans="1:17" ht="14.4" x14ac:dyDescent="0.3">
      <c r="A1740" s="502">
        <v>4893216</v>
      </c>
      <c r="B1740" s="503" t="s">
        <v>3361</v>
      </c>
      <c r="C1740" s="514">
        <v>0</v>
      </c>
      <c r="D1740" s="514">
        <v>0</v>
      </c>
      <c r="E1740" s="514">
        <v>0</v>
      </c>
      <c r="F1740" s="514">
        <v>0</v>
      </c>
      <c r="G1740" s="514">
        <v>0</v>
      </c>
      <c r="H1740" s="514">
        <v>0</v>
      </c>
      <c r="I1740" s="514">
        <v>0</v>
      </c>
      <c r="J1740" s="514">
        <v>0</v>
      </c>
      <c r="K1740" s="514">
        <v>0</v>
      </c>
      <c r="L1740" s="514">
        <v>0</v>
      </c>
      <c r="M1740" s="514">
        <v>0</v>
      </c>
      <c r="N1740" s="514">
        <v>0</v>
      </c>
      <c r="O1740" s="499"/>
      <c r="P1740" s="499"/>
      <c r="Q1740" s="499"/>
    </row>
    <row r="1741" spans="1:17" ht="14.4" x14ac:dyDescent="0.3">
      <c r="A1741" s="502">
        <v>4893217</v>
      </c>
      <c r="B1741" s="503" t="s">
        <v>3362</v>
      </c>
      <c r="C1741" s="514">
        <v>0</v>
      </c>
      <c r="D1741" s="514">
        <v>0</v>
      </c>
      <c r="E1741" s="514">
        <v>0</v>
      </c>
      <c r="F1741" s="514">
        <v>0</v>
      </c>
      <c r="G1741" s="514">
        <v>0</v>
      </c>
      <c r="H1741" s="514">
        <v>0</v>
      </c>
      <c r="I1741" s="514">
        <v>0</v>
      </c>
      <c r="J1741" s="514">
        <v>0</v>
      </c>
      <c r="K1741" s="514">
        <v>0</v>
      </c>
      <c r="L1741" s="514">
        <v>0</v>
      </c>
      <c r="M1741" s="514">
        <v>0</v>
      </c>
      <c r="N1741" s="514">
        <v>0</v>
      </c>
      <c r="O1741" s="499"/>
      <c r="P1741" s="499"/>
      <c r="Q1741" s="499"/>
    </row>
    <row r="1742" spans="1:17" ht="14.4" x14ac:dyDescent="0.3">
      <c r="A1742" s="502">
        <v>4893220</v>
      </c>
      <c r="B1742" s="503" t="s">
        <v>3363</v>
      </c>
      <c r="C1742" s="514">
        <v>0</v>
      </c>
      <c r="D1742" s="514">
        <v>0</v>
      </c>
      <c r="E1742" s="514">
        <v>0</v>
      </c>
      <c r="F1742" s="514">
        <v>0</v>
      </c>
      <c r="G1742" s="514">
        <v>0</v>
      </c>
      <c r="H1742" s="514">
        <v>0</v>
      </c>
      <c r="I1742" s="514">
        <v>0</v>
      </c>
      <c r="J1742" s="514">
        <v>0</v>
      </c>
      <c r="K1742" s="514">
        <v>0</v>
      </c>
      <c r="L1742" s="514">
        <v>0</v>
      </c>
      <c r="M1742" s="514">
        <v>0</v>
      </c>
      <c r="N1742" s="514">
        <v>0</v>
      </c>
      <c r="O1742" s="499"/>
      <c r="P1742" s="499"/>
      <c r="Q1742" s="499"/>
    </row>
    <row r="1743" spans="1:17" ht="14.4" x14ac:dyDescent="0.3">
      <c r="A1743" s="502">
        <v>4893282</v>
      </c>
      <c r="B1743" s="503" t="s">
        <v>3364</v>
      </c>
      <c r="C1743" s="514">
        <v>0</v>
      </c>
      <c r="D1743" s="514">
        <v>0</v>
      </c>
      <c r="E1743" s="514">
        <v>0</v>
      </c>
      <c r="F1743" s="514">
        <v>0</v>
      </c>
      <c r="G1743" s="514">
        <v>0</v>
      </c>
      <c r="H1743" s="514">
        <v>0</v>
      </c>
      <c r="I1743" s="514">
        <v>0</v>
      </c>
      <c r="J1743" s="514">
        <v>0</v>
      </c>
      <c r="K1743" s="514">
        <v>0</v>
      </c>
      <c r="L1743" s="514">
        <v>0</v>
      </c>
      <c r="M1743" s="514">
        <v>0</v>
      </c>
      <c r="N1743" s="514">
        <v>0</v>
      </c>
      <c r="O1743" s="499"/>
      <c r="P1743" s="499"/>
      <c r="Q1743" s="499"/>
    </row>
    <row r="1744" spans="1:17" ht="14.4" x14ac:dyDescent="0.3">
      <c r="A1744" s="502">
        <v>4893310</v>
      </c>
      <c r="B1744" s="503" t="s">
        <v>3365</v>
      </c>
      <c r="C1744" s="514">
        <v>0</v>
      </c>
      <c r="D1744" s="514">
        <v>0</v>
      </c>
      <c r="E1744" s="514">
        <v>0</v>
      </c>
      <c r="F1744" s="514">
        <v>0</v>
      </c>
      <c r="G1744" s="514">
        <v>0</v>
      </c>
      <c r="H1744" s="514">
        <v>0</v>
      </c>
      <c r="I1744" s="514">
        <v>0</v>
      </c>
      <c r="J1744" s="514">
        <v>0</v>
      </c>
      <c r="K1744" s="514">
        <v>0</v>
      </c>
      <c r="L1744" s="514">
        <v>0</v>
      </c>
      <c r="M1744" s="514">
        <v>0</v>
      </c>
      <c r="N1744" s="514">
        <v>0</v>
      </c>
      <c r="O1744" s="499"/>
      <c r="P1744" s="499"/>
      <c r="Q1744" s="499"/>
    </row>
    <row r="1745" spans="1:17" ht="14.4" x14ac:dyDescent="0.3">
      <c r="A1745" s="502">
        <v>4893311</v>
      </c>
      <c r="B1745" s="503" t="s">
        <v>3366</v>
      </c>
      <c r="C1745" s="514">
        <v>0</v>
      </c>
      <c r="D1745" s="514">
        <v>0</v>
      </c>
      <c r="E1745" s="514">
        <v>0</v>
      </c>
      <c r="F1745" s="514">
        <v>0</v>
      </c>
      <c r="G1745" s="514">
        <v>0</v>
      </c>
      <c r="H1745" s="514">
        <v>0</v>
      </c>
      <c r="I1745" s="514">
        <v>0</v>
      </c>
      <c r="J1745" s="514">
        <v>0</v>
      </c>
      <c r="K1745" s="514">
        <v>0</v>
      </c>
      <c r="L1745" s="514">
        <v>0</v>
      </c>
      <c r="M1745" s="514">
        <v>0</v>
      </c>
      <c r="N1745" s="514">
        <v>0</v>
      </c>
      <c r="O1745" s="499"/>
      <c r="P1745" s="499"/>
      <c r="Q1745" s="499"/>
    </row>
    <row r="1746" spans="1:17" ht="14.4" x14ac:dyDescent="0.3">
      <c r="A1746" s="502">
        <v>4893312</v>
      </c>
      <c r="B1746" s="503" t="s">
        <v>3367</v>
      </c>
      <c r="C1746" s="514">
        <v>0</v>
      </c>
      <c r="D1746" s="514">
        <v>0</v>
      </c>
      <c r="E1746" s="514">
        <v>0</v>
      </c>
      <c r="F1746" s="514">
        <v>0</v>
      </c>
      <c r="G1746" s="514">
        <v>0</v>
      </c>
      <c r="H1746" s="514">
        <v>0</v>
      </c>
      <c r="I1746" s="514">
        <v>0</v>
      </c>
      <c r="J1746" s="514">
        <v>0</v>
      </c>
      <c r="K1746" s="514">
        <v>0</v>
      </c>
      <c r="L1746" s="514">
        <v>0</v>
      </c>
      <c r="M1746" s="514">
        <v>0</v>
      </c>
      <c r="N1746" s="514">
        <v>0</v>
      </c>
      <c r="O1746" s="499"/>
      <c r="P1746" s="499"/>
      <c r="Q1746" s="499"/>
    </row>
    <row r="1747" spans="1:17" ht="14.4" x14ac:dyDescent="0.3">
      <c r="A1747" s="502">
        <v>4893313</v>
      </c>
      <c r="B1747" s="503" t="s">
        <v>3368</v>
      </c>
      <c r="C1747" s="514">
        <v>0</v>
      </c>
      <c r="D1747" s="514">
        <v>0</v>
      </c>
      <c r="E1747" s="514">
        <v>0</v>
      </c>
      <c r="F1747" s="514">
        <v>0</v>
      </c>
      <c r="G1747" s="514">
        <v>0</v>
      </c>
      <c r="H1747" s="514">
        <v>0</v>
      </c>
      <c r="I1747" s="514">
        <v>0</v>
      </c>
      <c r="J1747" s="514">
        <v>0</v>
      </c>
      <c r="K1747" s="514">
        <v>0</v>
      </c>
      <c r="L1747" s="514">
        <v>0</v>
      </c>
      <c r="M1747" s="514">
        <v>0</v>
      </c>
      <c r="N1747" s="514">
        <v>0</v>
      </c>
      <c r="O1747" s="499"/>
      <c r="P1747" s="499"/>
      <c r="Q1747" s="499"/>
    </row>
    <row r="1748" spans="1:17" ht="14.4" x14ac:dyDescent="0.3">
      <c r="A1748" s="502">
        <v>4893314</v>
      </c>
      <c r="B1748" s="503" t="s">
        <v>3369</v>
      </c>
      <c r="C1748" s="514">
        <v>0</v>
      </c>
      <c r="D1748" s="514">
        <v>0</v>
      </c>
      <c r="E1748" s="514">
        <v>0</v>
      </c>
      <c r="F1748" s="514">
        <v>0</v>
      </c>
      <c r="G1748" s="514">
        <v>0</v>
      </c>
      <c r="H1748" s="514">
        <v>0</v>
      </c>
      <c r="I1748" s="514">
        <v>0</v>
      </c>
      <c r="J1748" s="514">
        <v>0</v>
      </c>
      <c r="K1748" s="514">
        <v>0</v>
      </c>
      <c r="L1748" s="514">
        <v>0</v>
      </c>
      <c r="M1748" s="514">
        <v>0</v>
      </c>
      <c r="N1748" s="514">
        <v>0</v>
      </c>
      <c r="O1748" s="499"/>
      <c r="P1748" s="499"/>
      <c r="Q1748" s="499"/>
    </row>
    <row r="1749" spans="1:17" ht="14.4" x14ac:dyDescent="0.3">
      <c r="A1749" s="502">
        <v>4893315</v>
      </c>
      <c r="B1749" s="503" t="s">
        <v>3370</v>
      </c>
      <c r="C1749" s="514">
        <v>0</v>
      </c>
      <c r="D1749" s="514">
        <v>0</v>
      </c>
      <c r="E1749" s="514">
        <v>0</v>
      </c>
      <c r="F1749" s="514">
        <v>0</v>
      </c>
      <c r="G1749" s="514">
        <v>0</v>
      </c>
      <c r="H1749" s="514">
        <v>0</v>
      </c>
      <c r="I1749" s="514">
        <v>0</v>
      </c>
      <c r="J1749" s="514">
        <v>0</v>
      </c>
      <c r="K1749" s="514">
        <v>0</v>
      </c>
      <c r="L1749" s="514">
        <v>0</v>
      </c>
      <c r="M1749" s="514">
        <v>0</v>
      </c>
      <c r="N1749" s="514">
        <v>0</v>
      </c>
      <c r="O1749" s="499"/>
      <c r="P1749" s="499"/>
      <c r="Q1749" s="499"/>
    </row>
    <row r="1750" spans="1:17" ht="14.4" x14ac:dyDescent="0.3">
      <c r="A1750" s="502">
        <v>4893316</v>
      </c>
      <c r="B1750" s="503" t="s">
        <v>3371</v>
      </c>
      <c r="C1750" s="514">
        <v>0</v>
      </c>
      <c r="D1750" s="514">
        <v>0</v>
      </c>
      <c r="E1750" s="514">
        <v>0</v>
      </c>
      <c r="F1750" s="514">
        <v>0</v>
      </c>
      <c r="G1750" s="514">
        <v>0</v>
      </c>
      <c r="H1750" s="514">
        <v>0</v>
      </c>
      <c r="I1750" s="514">
        <v>0</v>
      </c>
      <c r="J1750" s="514">
        <v>0</v>
      </c>
      <c r="K1750" s="514">
        <v>0</v>
      </c>
      <c r="L1750" s="514">
        <v>0</v>
      </c>
      <c r="M1750" s="514">
        <v>0</v>
      </c>
      <c r="N1750" s="514">
        <v>0</v>
      </c>
      <c r="O1750" s="499"/>
      <c r="P1750" s="499"/>
      <c r="Q1750" s="499"/>
    </row>
    <row r="1751" spans="1:17" ht="14.4" x14ac:dyDescent="0.3">
      <c r="A1751" s="502">
        <v>4893317</v>
      </c>
      <c r="B1751" s="503" t="s">
        <v>3372</v>
      </c>
      <c r="C1751" s="514">
        <v>0</v>
      </c>
      <c r="D1751" s="514">
        <v>0</v>
      </c>
      <c r="E1751" s="514">
        <v>0</v>
      </c>
      <c r="F1751" s="514">
        <v>0</v>
      </c>
      <c r="G1751" s="514">
        <v>0</v>
      </c>
      <c r="H1751" s="514">
        <v>0</v>
      </c>
      <c r="I1751" s="514">
        <v>0</v>
      </c>
      <c r="J1751" s="514">
        <v>0</v>
      </c>
      <c r="K1751" s="514">
        <v>0</v>
      </c>
      <c r="L1751" s="514">
        <v>0</v>
      </c>
      <c r="M1751" s="514">
        <v>0</v>
      </c>
      <c r="N1751" s="514">
        <v>0</v>
      </c>
      <c r="O1751" s="499"/>
      <c r="P1751" s="499"/>
      <c r="Q1751" s="499"/>
    </row>
    <row r="1752" spans="1:17" ht="14.4" x14ac:dyDescent="0.3">
      <c r="A1752" s="502">
        <v>4893320</v>
      </c>
      <c r="B1752" s="503" t="s">
        <v>3373</v>
      </c>
      <c r="C1752" s="514">
        <v>0</v>
      </c>
      <c r="D1752" s="514">
        <v>0</v>
      </c>
      <c r="E1752" s="514">
        <v>0</v>
      </c>
      <c r="F1752" s="514">
        <v>0</v>
      </c>
      <c r="G1752" s="514">
        <v>0</v>
      </c>
      <c r="H1752" s="514">
        <v>0</v>
      </c>
      <c r="I1752" s="514">
        <v>0</v>
      </c>
      <c r="J1752" s="514">
        <v>0</v>
      </c>
      <c r="K1752" s="514">
        <v>0</v>
      </c>
      <c r="L1752" s="514">
        <v>0</v>
      </c>
      <c r="M1752" s="514">
        <v>0</v>
      </c>
      <c r="N1752" s="514">
        <v>0</v>
      </c>
      <c r="O1752" s="499"/>
      <c r="P1752" s="499"/>
      <c r="Q1752" s="499"/>
    </row>
    <row r="1753" spans="1:17" ht="14.4" x14ac:dyDescent="0.3">
      <c r="A1753" s="502">
        <v>4893382</v>
      </c>
      <c r="B1753" s="503" t="s">
        <v>3374</v>
      </c>
      <c r="C1753" s="514">
        <v>0</v>
      </c>
      <c r="D1753" s="514">
        <v>0</v>
      </c>
      <c r="E1753" s="514">
        <v>0</v>
      </c>
      <c r="F1753" s="514">
        <v>0</v>
      </c>
      <c r="G1753" s="514">
        <v>0</v>
      </c>
      <c r="H1753" s="514">
        <v>0</v>
      </c>
      <c r="I1753" s="514">
        <v>0</v>
      </c>
      <c r="J1753" s="514">
        <v>0</v>
      </c>
      <c r="K1753" s="514">
        <v>0</v>
      </c>
      <c r="L1753" s="514">
        <v>0</v>
      </c>
      <c r="M1753" s="514">
        <v>0</v>
      </c>
      <c r="N1753" s="514">
        <v>0</v>
      </c>
      <c r="O1753" s="499"/>
      <c r="P1753" s="499"/>
      <c r="Q1753" s="499"/>
    </row>
    <row r="1754" spans="1:17" ht="14.4" x14ac:dyDescent="0.3">
      <c r="A1754" s="502">
        <v>4893410</v>
      </c>
      <c r="B1754" s="503" t="s">
        <v>3375</v>
      </c>
      <c r="C1754" s="514">
        <v>0</v>
      </c>
      <c r="D1754" s="514">
        <v>0</v>
      </c>
      <c r="E1754" s="514">
        <v>0</v>
      </c>
      <c r="F1754" s="514">
        <v>0</v>
      </c>
      <c r="G1754" s="514">
        <v>0</v>
      </c>
      <c r="H1754" s="514">
        <v>0</v>
      </c>
      <c r="I1754" s="514">
        <v>0</v>
      </c>
      <c r="J1754" s="514">
        <v>0</v>
      </c>
      <c r="K1754" s="514">
        <v>0</v>
      </c>
      <c r="L1754" s="514">
        <v>0</v>
      </c>
      <c r="M1754" s="514">
        <v>0</v>
      </c>
      <c r="N1754" s="514">
        <v>0</v>
      </c>
      <c r="O1754" s="499"/>
      <c r="P1754" s="499"/>
      <c r="Q1754" s="499"/>
    </row>
    <row r="1755" spans="1:17" ht="14.4" x14ac:dyDescent="0.3">
      <c r="A1755" s="502">
        <v>4893411</v>
      </c>
      <c r="B1755" s="503" t="s">
        <v>3376</v>
      </c>
      <c r="C1755" s="514">
        <v>0</v>
      </c>
      <c r="D1755" s="514">
        <v>0</v>
      </c>
      <c r="E1755" s="514">
        <v>0</v>
      </c>
      <c r="F1755" s="514">
        <v>0</v>
      </c>
      <c r="G1755" s="514">
        <v>0</v>
      </c>
      <c r="H1755" s="514">
        <v>0</v>
      </c>
      <c r="I1755" s="514">
        <v>0</v>
      </c>
      <c r="J1755" s="514">
        <v>0</v>
      </c>
      <c r="K1755" s="514">
        <v>0</v>
      </c>
      <c r="L1755" s="514">
        <v>0</v>
      </c>
      <c r="M1755" s="514">
        <v>0</v>
      </c>
      <c r="N1755" s="514">
        <v>0</v>
      </c>
      <c r="O1755" s="499"/>
      <c r="P1755" s="499"/>
      <c r="Q1755" s="499"/>
    </row>
    <row r="1756" spans="1:17" ht="14.4" x14ac:dyDescent="0.3">
      <c r="A1756" s="502">
        <v>4893412</v>
      </c>
      <c r="B1756" s="503" t="s">
        <v>3377</v>
      </c>
      <c r="C1756" s="514">
        <v>0</v>
      </c>
      <c r="D1756" s="514">
        <v>0</v>
      </c>
      <c r="E1756" s="514">
        <v>0</v>
      </c>
      <c r="F1756" s="514">
        <v>0</v>
      </c>
      <c r="G1756" s="514">
        <v>0</v>
      </c>
      <c r="H1756" s="514">
        <v>0</v>
      </c>
      <c r="I1756" s="514">
        <v>0</v>
      </c>
      <c r="J1756" s="514">
        <v>0</v>
      </c>
      <c r="K1756" s="514">
        <v>0</v>
      </c>
      <c r="L1756" s="514">
        <v>0</v>
      </c>
      <c r="M1756" s="514">
        <v>0</v>
      </c>
      <c r="N1756" s="514">
        <v>0</v>
      </c>
      <c r="O1756" s="499"/>
      <c r="P1756" s="499"/>
      <c r="Q1756" s="499"/>
    </row>
    <row r="1757" spans="1:17" ht="14.4" x14ac:dyDescent="0.3">
      <c r="A1757" s="502">
        <v>4893413</v>
      </c>
      <c r="B1757" s="503" t="s">
        <v>3378</v>
      </c>
      <c r="C1757" s="514">
        <v>0</v>
      </c>
      <c r="D1757" s="514">
        <v>0</v>
      </c>
      <c r="E1757" s="514">
        <v>0</v>
      </c>
      <c r="F1757" s="514">
        <v>0</v>
      </c>
      <c r="G1757" s="514">
        <v>0</v>
      </c>
      <c r="H1757" s="514">
        <v>0</v>
      </c>
      <c r="I1757" s="514">
        <v>0</v>
      </c>
      <c r="J1757" s="514">
        <v>0</v>
      </c>
      <c r="K1757" s="514">
        <v>0</v>
      </c>
      <c r="L1757" s="514">
        <v>0</v>
      </c>
      <c r="M1757" s="514">
        <v>0</v>
      </c>
      <c r="N1757" s="514">
        <v>0</v>
      </c>
      <c r="O1757" s="499"/>
      <c r="P1757" s="499"/>
      <c r="Q1757" s="499"/>
    </row>
    <row r="1758" spans="1:17" ht="14.4" x14ac:dyDescent="0.3">
      <c r="A1758" s="502">
        <v>4893414</v>
      </c>
      <c r="B1758" s="503" t="s">
        <v>3379</v>
      </c>
      <c r="C1758" s="514">
        <v>0</v>
      </c>
      <c r="D1758" s="514">
        <v>0</v>
      </c>
      <c r="E1758" s="514">
        <v>0</v>
      </c>
      <c r="F1758" s="514">
        <v>0</v>
      </c>
      <c r="G1758" s="514">
        <v>0</v>
      </c>
      <c r="H1758" s="514">
        <v>0</v>
      </c>
      <c r="I1758" s="514">
        <v>0</v>
      </c>
      <c r="J1758" s="514">
        <v>0</v>
      </c>
      <c r="K1758" s="514">
        <v>0</v>
      </c>
      <c r="L1758" s="514">
        <v>0</v>
      </c>
      <c r="M1758" s="514">
        <v>0</v>
      </c>
      <c r="N1758" s="514">
        <v>0</v>
      </c>
      <c r="O1758" s="499"/>
      <c r="P1758" s="499"/>
      <c r="Q1758" s="499"/>
    </row>
    <row r="1759" spans="1:17" ht="14.4" x14ac:dyDescent="0.3">
      <c r="A1759" s="502">
        <v>4893415</v>
      </c>
      <c r="B1759" s="503" t="s">
        <v>3380</v>
      </c>
      <c r="C1759" s="514">
        <v>0</v>
      </c>
      <c r="D1759" s="514">
        <v>0</v>
      </c>
      <c r="E1759" s="514">
        <v>0</v>
      </c>
      <c r="F1759" s="514">
        <v>0</v>
      </c>
      <c r="G1759" s="514">
        <v>0</v>
      </c>
      <c r="H1759" s="514">
        <v>0</v>
      </c>
      <c r="I1759" s="514">
        <v>0</v>
      </c>
      <c r="J1759" s="514">
        <v>0</v>
      </c>
      <c r="K1759" s="514">
        <v>0</v>
      </c>
      <c r="L1759" s="514">
        <v>0</v>
      </c>
      <c r="M1759" s="514">
        <v>0</v>
      </c>
      <c r="N1759" s="514">
        <v>0</v>
      </c>
      <c r="O1759" s="499"/>
      <c r="P1759" s="499"/>
      <c r="Q1759" s="499"/>
    </row>
    <row r="1760" spans="1:17" ht="14.4" x14ac:dyDescent="0.3">
      <c r="A1760" s="502">
        <v>4893416</v>
      </c>
      <c r="B1760" s="503" t="s">
        <v>3381</v>
      </c>
      <c r="C1760" s="514">
        <v>0</v>
      </c>
      <c r="D1760" s="514">
        <v>0</v>
      </c>
      <c r="E1760" s="514">
        <v>0</v>
      </c>
      <c r="F1760" s="514">
        <v>0</v>
      </c>
      <c r="G1760" s="514">
        <v>0</v>
      </c>
      <c r="H1760" s="514">
        <v>0</v>
      </c>
      <c r="I1760" s="514">
        <v>0</v>
      </c>
      <c r="J1760" s="514">
        <v>0</v>
      </c>
      <c r="K1760" s="514">
        <v>0</v>
      </c>
      <c r="L1760" s="514">
        <v>0</v>
      </c>
      <c r="M1760" s="514">
        <v>0</v>
      </c>
      <c r="N1760" s="514">
        <v>0</v>
      </c>
      <c r="O1760" s="499"/>
      <c r="P1760" s="499"/>
      <c r="Q1760" s="499"/>
    </row>
    <row r="1761" spans="1:17" ht="14.4" x14ac:dyDescent="0.3">
      <c r="A1761" s="502">
        <v>4893417</v>
      </c>
      <c r="B1761" s="503" t="s">
        <v>3382</v>
      </c>
      <c r="C1761" s="514">
        <v>0</v>
      </c>
      <c r="D1761" s="514">
        <v>0</v>
      </c>
      <c r="E1761" s="514">
        <v>0</v>
      </c>
      <c r="F1761" s="514">
        <v>0</v>
      </c>
      <c r="G1761" s="514">
        <v>0</v>
      </c>
      <c r="H1761" s="514">
        <v>0</v>
      </c>
      <c r="I1761" s="514">
        <v>0</v>
      </c>
      <c r="J1761" s="514">
        <v>0</v>
      </c>
      <c r="K1761" s="514">
        <v>0</v>
      </c>
      <c r="L1761" s="514">
        <v>0</v>
      </c>
      <c r="M1761" s="514">
        <v>0</v>
      </c>
      <c r="N1761" s="514">
        <v>0</v>
      </c>
      <c r="O1761" s="499"/>
      <c r="P1761" s="499"/>
      <c r="Q1761" s="499"/>
    </row>
    <row r="1762" spans="1:17" ht="14.4" x14ac:dyDescent="0.3">
      <c r="A1762" s="502">
        <v>4893420</v>
      </c>
      <c r="B1762" s="503" t="s">
        <v>3383</v>
      </c>
      <c r="C1762" s="514">
        <v>0</v>
      </c>
      <c r="D1762" s="514">
        <v>0</v>
      </c>
      <c r="E1762" s="514">
        <v>0</v>
      </c>
      <c r="F1762" s="514">
        <v>0</v>
      </c>
      <c r="G1762" s="514">
        <v>0</v>
      </c>
      <c r="H1762" s="514">
        <v>0</v>
      </c>
      <c r="I1762" s="514">
        <v>0</v>
      </c>
      <c r="J1762" s="514">
        <v>0</v>
      </c>
      <c r="K1762" s="514">
        <v>0</v>
      </c>
      <c r="L1762" s="514">
        <v>0</v>
      </c>
      <c r="M1762" s="514">
        <v>0</v>
      </c>
      <c r="N1762" s="514">
        <v>0</v>
      </c>
      <c r="O1762" s="499"/>
      <c r="P1762" s="499"/>
      <c r="Q1762" s="499"/>
    </row>
    <row r="1763" spans="1:17" ht="14.4" x14ac:dyDescent="0.3">
      <c r="A1763" s="502">
        <v>4893482</v>
      </c>
      <c r="B1763" s="503" t="s">
        <v>3384</v>
      </c>
      <c r="C1763" s="514">
        <v>0</v>
      </c>
      <c r="D1763" s="514">
        <v>0</v>
      </c>
      <c r="E1763" s="514">
        <v>0</v>
      </c>
      <c r="F1763" s="514">
        <v>0</v>
      </c>
      <c r="G1763" s="514">
        <v>0</v>
      </c>
      <c r="H1763" s="514">
        <v>0</v>
      </c>
      <c r="I1763" s="514">
        <v>0</v>
      </c>
      <c r="J1763" s="514">
        <v>0</v>
      </c>
      <c r="K1763" s="514">
        <v>0</v>
      </c>
      <c r="L1763" s="514">
        <v>0</v>
      </c>
      <c r="M1763" s="514">
        <v>0</v>
      </c>
      <c r="N1763" s="514">
        <v>0</v>
      </c>
      <c r="O1763" s="499"/>
      <c r="P1763" s="499"/>
      <c r="Q1763" s="499"/>
    </row>
    <row r="1764" spans="1:17" ht="14.4" x14ac:dyDescent="0.3">
      <c r="A1764" s="502">
        <v>4893510</v>
      </c>
      <c r="B1764" s="503" t="s">
        <v>3385</v>
      </c>
      <c r="C1764" s="514">
        <v>0</v>
      </c>
      <c r="D1764" s="514">
        <v>0</v>
      </c>
      <c r="E1764" s="514">
        <v>0</v>
      </c>
      <c r="F1764" s="514">
        <v>0</v>
      </c>
      <c r="G1764" s="514">
        <v>0</v>
      </c>
      <c r="H1764" s="514">
        <v>0</v>
      </c>
      <c r="I1764" s="514">
        <v>0</v>
      </c>
      <c r="J1764" s="514">
        <v>0</v>
      </c>
      <c r="K1764" s="514">
        <v>0</v>
      </c>
      <c r="L1764" s="514">
        <v>0</v>
      </c>
      <c r="M1764" s="514">
        <v>0</v>
      </c>
      <c r="N1764" s="514">
        <v>0</v>
      </c>
      <c r="O1764" s="499"/>
      <c r="P1764" s="499"/>
      <c r="Q1764" s="499"/>
    </row>
    <row r="1765" spans="1:17" ht="14.4" x14ac:dyDescent="0.3">
      <c r="A1765" s="502">
        <v>4893511</v>
      </c>
      <c r="B1765" s="503" t="s">
        <v>3386</v>
      </c>
      <c r="C1765" s="514">
        <v>0</v>
      </c>
      <c r="D1765" s="514">
        <v>0</v>
      </c>
      <c r="E1765" s="514">
        <v>0</v>
      </c>
      <c r="F1765" s="514">
        <v>0</v>
      </c>
      <c r="G1765" s="514">
        <v>0</v>
      </c>
      <c r="H1765" s="514">
        <v>0</v>
      </c>
      <c r="I1765" s="514">
        <v>0</v>
      </c>
      <c r="J1765" s="514">
        <v>0</v>
      </c>
      <c r="K1765" s="514">
        <v>0</v>
      </c>
      <c r="L1765" s="514">
        <v>0</v>
      </c>
      <c r="M1765" s="514">
        <v>0</v>
      </c>
      <c r="N1765" s="514">
        <v>0</v>
      </c>
      <c r="O1765" s="499"/>
      <c r="P1765" s="499"/>
      <c r="Q1765" s="499"/>
    </row>
    <row r="1766" spans="1:17" ht="14.4" x14ac:dyDescent="0.3">
      <c r="A1766" s="502">
        <v>4893512</v>
      </c>
      <c r="B1766" s="503" t="s">
        <v>3387</v>
      </c>
      <c r="C1766" s="514">
        <v>0</v>
      </c>
      <c r="D1766" s="514">
        <v>0</v>
      </c>
      <c r="E1766" s="514">
        <v>0</v>
      </c>
      <c r="F1766" s="514">
        <v>0</v>
      </c>
      <c r="G1766" s="514">
        <v>0</v>
      </c>
      <c r="H1766" s="514">
        <v>0</v>
      </c>
      <c r="I1766" s="514">
        <v>0</v>
      </c>
      <c r="J1766" s="514">
        <v>0</v>
      </c>
      <c r="K1766" s="514">
        <v>0</v>
      </c>
      <c r="L1766" s="514">
        <v>0</v>
      </c>
      <c r="M1766" s="514">
        <v>0</v>
      </c>
      <c r="N1766" s="514">
        <v>0</v>
      </c>
      <c r="O1766" s="499"/>
      <c r="P1766" s="499"/>
      <c r="Q1766" s="499"/>
    </row>
    <row r="1767" spans="1:17" ht="14.4" x14ac:dyDescent="0.3">
      <c r="A1767" s="502">
        <v>4893513</v>
      </c>
      <c r="B1767" s="503" t="s">
        <v>3388</v>
      </c>
      <c r="C1767" s="514">
        <v>0</v>
      </c>
      <c r="D1767" s="514">
        <v>0</v>
      </c>
      <c r="E1767" s="514">
        <v>0</v>
      </c>
      <c r="F1767" s="514">
        <v>0</v>
      </c>
      <c r="G1767" s="514">
        <v>0</v>
      </c>
      <c r="H1767" s="514">
        <v>0</v>
      </c>
      <c r="I1767" s="514">
        <v>0</v>
      </c>
      <c r="J1767" s="514">
        <v>0</v>
      </c>
      <c r="K1767" s="514">
        <v>0</v>
      </c>
      <c r="L1767" s="514">
        <v>0</v>
      </c>
      <c r="M1767" s="514">
        <v>0</v>
      </c>
      <c r="N1767" s="514">
        <v>0</v>
      </c>
      <c r="O1767" s="499"/>
      <c r="P1767" s="499"/>
      <c r="Q1767" s="499"/>
    </row>
    <row r="1768" spans="1:17" ht="14.4" x14ac:dyDescent="0.3">
      <c r="A1768" s="502">
        <v>4893514</v>
      </c>
      <c r="B1768" s="503" t="s">
        <v>3389</v>
      </c>
      <c r="C1768" s="514">
        <v>0</v>
      </c>
      <c r="D1768" s="514">
        <v>0</v>
      </c>
      <c r="E1768" s="514">
        <v>0</v>
      </c>
      <c r="F1768" s="514">
        <v>0</v>
      </c>
      <c r="G1768" s="514">
        <v>0</v>
      </c>
      <c r="H1768" s="514">
        <v>0</v>
      </c>
      <c r="I1768" s="514">
        <v>0</v>
      </c>
      <c r="J1768" s="514">
        <v>0</v>
      </c>
      <c r="K1768" s="514">
        <v>0</v>
      </c>
      <c r="L1768" s="514">
        <v>0</v>
      </c>
      <c r="M1768" s="514">
        <v>0</v>
      </c>
      <c r="N1768" s="514">
        <v>0</v>
      </c>
      <c r="O1768" s="499"/>
      <c r="P1768" s="499"/>
      <c r="Q1768" s="499"/>
    </row>
    <row r="1769" spans="1:17" ht="14.4" x14ac:dyDescent="0.3">
      <c r="A1769" s="502">
        <v>4893515</v>
      </c>
      <c r="B1769" s="503" t="s">
        <v>3390</v>
      </c>
      <c r="C1769" s="514">
        <v>0</v>
      </c>
      <c r="D1769" s="514">
        <v>0</v>
      </c>
      <c r="E1769" s="514">
        <v>0</v>
      </c>
      <c r="F1769" s="514">
        <v>0</v>
      </c>
      <c r="G1769" s="514">
        <v>0</v>
      </c>
      <c r="H1769" s="514">
        <v>0</v>
      </c>
      <c r="I1769" s="514">
        <v>0</v>
      </c>
      <c r="J1769" s="514">
        <v>0</v>
      </c>
      <c r="K1769" s="514">
        <v>0</v>
      </c>
      <c r="L1769" s="514">
        <v>0</v>
      </c>
      <c r="M1769" s="514">
        <v>0</v>
      </c>
      <c r="N1769" s="514">
        <v>0</v>
      </c>
      <c r="O1769" s="499"/>
      <c r="P1769" s="499"/>
      <c r="Q1769" s="499"/>
    </row>
    <row r="1770" spans="1:17" ht="14.4" x14ac:dyDescent="0.3">
      <c r="A1770" s="502">
        <v>4893516</v>
      </c>
      <c r="B1770" s="503" t="s">
        <v>3391</v>
      </c>
      <c r="C1770" s="514">
        <v>0</v>
      </c>
      <c r="D1770" s="514">
        <v>0</v>
      </c>
      <c r="E1770" s="514">
        <v>0</v>
      </c>
      <c r="F1770" s="514">
        <v>0</v>
      </c>
      <c r="G1770" s="514">
        <v>0</v>
      </c>
      <c r="H1770" s="514">
        <v>0</v>
      </c>
      <c r="I1770" s="514">
        <v>0</v>
      </c>
      <c r="J1770" s="514">
        <v>0</v>
      </c>
      <c r="K1770" s="514">
        <v>0</v>
      </c>
      <c r="L1770" s="514">
        <v>0</v>
      </c>
      <c r="M1770" s="514">
        <v>0</v>
      </c>
      <c r="N1770" s="514">
        <v>0</v>
      </c>
      <c r="O1770" s="499"/>
      <c r="P1770" s="499"/>
      <c r="Q1770" s="499"/>
    </row>
    <row r="1771" spans="1:17" ht="14.4" x14ac:dyDescent="0.3">
      <c r="A1771" s="502">
        <v>4893517</v>
      </c>
      <c r="B1771" s="503" t="s">
        <v>3392</v>
      </c>
      <c r="C1771" s="514">
        <v>0</v>
      </c>
      <c r="D1771" s="514">
        <v>0</v>
      </c>
      <c r="E1771" s="514">
        <v>0</v>
      </c>
      <c r="F1771" s="514">
        <v>0</v>
      </c>
      <c r="G1771" s="514">
        <v>0</v>
      </c>
      <c r="H1771" s="514">
        <v>0</v>
      </c>
      <c r="I1771" s="514">
        <v>0</v>
      </c>
      <c r="J1771" s="514">
        <v>0</v>
      </c>
      <c r="K1771" s="514">
        <v>0</v>
      </c>
      <c r="L1771" s="514">
        <v>0</v>
      </c>
      <c r="M1771" s="514">
        <v>0</v>
      </c>
      <c r="N1771" s="514">
        <v>0</v>
      </c>
      <c r="O1771" s="499"/>
      <c r="P1771" s="499"/>
      <c r="Q1771" s="499"/>
    </row>
    <row r="1772" spans="1:17" ht="14.4" x14ac:dyDescent="0.3">
      <c r="A1772" s="502">
        <v>4893520</v>
      </c>
      <c r="B1772" s="503" t="s">
        <v>3393</v>
      </c>
      <c r="C1772" s="514">
        <v>0</v>
      </c>
      <c r="D1772" s="514">
        <v>0</v>
      </c>
      <c r="E1772" s="514">
        <v>0</v>
      </c>
      <c r="F1772" s="514">
        <v>0</v>
      </c>
      <c r="G1772" s="514">
        <v>0</v>
      </c>
      <c r="H1772" s="514">
        <v>0</v>
      </c>
      <c r="I1772" s="514">
        <v>0</v>
      </c>
      <c r="J1772" s="514">
        <v>0</v>
      </c>
      <c r="K1772" s="514">
        <v>0</v>
      </c>
      <c r="L1772" s="514">
        <v>0</v>
      </c>
      <c r="M1772" s="514">
        <v>0</v>
      </c>
      <c r="N1772" s="514">
        <v>0</v>
      </c>
      <c r="O1772" s="499"/>
      <c r="P1772" s="499"/>
      <c r="Q1772" s="499"/>
    </row>
    <row r="1773" spans="1:17" ht="14.4" x14ac:dyDescent="0.3">
      <c r="A1773" s="502">
        <v>4893582</v>
      </c>
      <c r="B1773" s="503" t="s">
        <v>3394</v>
      </c>
      <c r="C1773" s="514">
        <v>0</v>
      </c>
      <c r="D1773" s="514">
        <v>0</v>
      </c>
      <c r="E1773" s="514">
        <v>0</v>
      </c>
      <c r="F1773" s="514">
        <v>0</v>
      </c>
      <c r="G1773" s="514">
        <v>0</v>
      </c>
      <c r="H1773" s="514">
        <v>0</v>
      </c>
      <c r="I1773" s="514">
        <v>0</v>
      </c>
      <c r="J1773" s="514">
        <v>0</v>
      </c>
      <c r="K1773" s="514">
        <v>0</v>
      </c>
      <c r="L1773" s="514">
        <v>0</v>
      </c>
      <c r="M1773" s="514">
        <v>0</v>
      </c>
      <c r="N1773" s="514">
        <v>0</v>
      </c>
      <c r="O1773" s="499"/>
      <c r="P1773" s="499"/>
      <c r="Q1773" s="499"/>
    </row>
    <row r="1774" spans="1:17" ht="14.4" x14ac:dyDescent="0.3">
      <c r="A1774" s="502">
        <v>4930000</v>
      </c>
      <c r="B1774" s="503" t="s">
        <v>3395</v>
      </c>
      <c r="C1774" s="514">
        <v>0</v>
      </c>
      <c r="D1774" s="514">
        <v>0</v>
      </c>
      <c r="E1774" s="514">
        <v>0</v>
      </c>
      <c r="F1774" s="514">
        <v>0</v>
      </c>
      <c r="G1774" s="514">
        <v>0</v>
      </c>
      <c r="H1774" s="514">
        <v>0</v>
      </c>
      <c r="I1774" s="514">
        <v>0</v>
      </c>
      <c r="J1774" s="514">
        <v>0</v>
      </c>
      <c r="K1774" s="514">
        <v>0</v>
      </c>
      <c r="L1774" s="514">
        <v>0</v>
      </c>
      <c r="M1774" s="514">
        <v>0</v>
      </c>
      <c r="N1774" s="514">
        <v>0</v>
      </c>
      <c r="O1774" s="499"/>
      <c r="P1774" s="499"/>
      <c r="Q1774" s="499"/>
    </row>
    <row r="1775" spans="1:17" ht="14.4" x14ac:dyDescent="0.3">
      <c r="A1775" s="502">
        <v>4930700</v>
      </c>
      <c r="B1775" s="503" t="s">
        <v>3396</v>
      </c>
      <c r="C1775" s="514">
        <v>0</v>
      </c>
      <c r="D1775" s="514">
        <v>0</v>
      </c>
      <c r="E1775" s="514">
        <v>0</v>
      </c>
      <c r="F1775" s="514">
        <v>0</v>
      </c>
      <c r="G1775" s="514">
        <v>0</v>
      </c>
      <c r="H1775" s="514">
        <v>0</v>
      </c>
      <c r="I1775" s="514">
        <v>0</v>
      </c>
      <c r="J1775" s="514">
        <v>0</v>
      </c>
      <c r="K1775" s="514">
        <v>0</v>
      </c>
      <c r="L1775" s="514">
        <v>0</v>
      </c>
      <c r="M1775" s="514">
        <v>0</v>
      </c>
      <c r="N1775" s="514">
        <v>0</v>
      </c>
      <c r="O1775" s="499"/>
      <c r="P1775" s="499"/>
      <c r="Q1775" s="499"/>
    </row>
    <row r="1776" spans="1:17" ht="14.4" x14ac:dyDescent="0.3">
      <c r="A1776" s="502">
        <v>4940000</v>
      </c>
      <c r="B1776" s="503" t="s">
        <v>643</v>
      </c>
      <c r="C1776" s="514">
        <v>0</v>
      </c>
      <c r="D1776" s="514">
        <v>0</v>
      </c>
      <c r="E1776" s="514">
        <v>0</v>
      </c>
      <c r="F1776" s="514">
        <v>0</v>
      </c>
      <c r="G1776" s="514">
        <v>0</v>
      </c>
      <c r="H1776" s="514">
        <v>0</v>
      </c>
      <c r="I1776" s="514">
        <v>0</v>
      </c>
      <c r="J1776" s="514">
        <v>0</v>
      </c>
      <c r="K1776" s="514">
        <v>0</v>
      </c>
      <c r="L1776" s="514">
        <v>0</v>
      </c>
      <c r="M1776" s="514">
        <v>0</v>
      </c>
      <c r="N1776" s="514">
        <v>0</v>
      </c>
      <c r="O1776" s="499"/>
      <c r="P1776" s="499"/>
      <c r="Q1776" s="499"/>
    </row>
    <row r="1777" spans="1:17" ht="14.4" x14ac:dyDescent="0.3">
      <c r="A1777" s="502">
        <v>4950203</v>
      </c>
      <c r="B1777" s="503" t="s">
        <v>3397</v>
      </c>
      <c r="C1777" s="514">
        <v>0</v>
      </c>
      <c r="D1777" s="514">
        <v>0</v>
      </c>
      <c r="E1777" s="514">
        <v>0</v>
      </c>
      <c r="F1777" s="514">
        <v>0</v>
      </c>
      <c r="G1777" s="514">
        <v>0</v>
      </c>
      <c r="H1777" s="514">
        <v>0</v>
      </c>
      <c r="I1777" s="514">
        <v>0</v>
      </c>
      <c r="J1777" s="514">
        <v>0</v>
      </c>
      <c r="K1777" s="514">
        <v>0</v>
      </c>
      <c r="L1777" s="514">
        <v>0</v>
      </c>
      <c r="M1777" s="514">
        <v>0</v>
      </c>
      <c r="N1777" s="514">
        <v>0</v>
      </c>
      <c r="O1777" s="499"/>
      <c r="P1777" s="499"/>
      <c r="Q1777" s="499"/>
    </row>
    <row r="1778" spans="1:17" ht="14.4" x14ac:dyDescent="0.3">
      <c r="A1778" s="502">
        <v>4950205</v>
      </c>
      <c r="B1778" s="503" t="s">
        <v>3398</v>
      </c>
      <c r="C1778" s="514">
        <v>0</v>
      </c>
      <c r="D1778" s="514">
        <v>0</v>
      </c>
      <c r="E1778" s="514">
        <v>0</v>
      </c>
      <c r="F1778" s="514">
        <v>0</v>
      </c>
      <c r="G1778" s="514">
        <v>0</v>
      </c>
      <c r="H1778" s="514">
        <v>0</v>
      </c>
      <c r="I1778" s="514">
        <v>0</v>
      </c>
      <c r="J1778" s="514">
        <v>0</v>
      </c>
      <c r="K1778" s="514">
        <v>0</v>
      </c>
      <c r="L1778" s="514">
        <v>0</v>
      </c>
      <c r="M1778" s="514">
        <v>0</v>
      </c>
      <c r="N1778" s="514">
        <v>0</v>
      </c>
      <c r="O1778" s="499"/>
      <c r="P1778" s="499"/>
      <c r="Q1778" s="499"/>
    </row>
    <row r="1779" spans="1:17" ht="14.4" x14ac:dyDescent="0.3">
      <c r="A1779" s="502">
        <v>4950206</v>
      </c>
      <c r="B1779" s="503" t="s">
        <v>3399</v>
      </c>
      <c r="C1779" s="514">
        <v>0</v>
      </c>
      <c r="D1779" s="514">
        <v>0</v>
      </c>
      <c r="E1779" s="514">
        <v>0</v>
      </c>
      <c r="F1779" s="514">
        <v>0</v>
      </c>
      <c r="G1779" s="514">
        <v>0</v>
      </c>
      <c r="H1779" s="514">
        <v>0</v>
      </c>
      <c r="I1779" s="514">
        <v>0</v>
      </c>
      <c r="J1779" s="514">
        <v>0</v>
      </c>
      <c r="K1779" s="514">
        <v>0</v>
      </c>
      <c r="L1779" s="514">
        <v>0</v>
      </c>
      <c r="M1779" s="514">
        <v>0</v>
      </c>
      <c r="N1779" s="514">
        <v>0</v>
      </c>
      <c r="O1779" s="499"/>
      <c r="P1779" s="499"/>
      <c r="Q1779" s="499"/>
    </row>
    <row r="1780" spans="1:17" ht="14.4" x14ac:dyDescent="0.3">
      <c r="A1780" s="502">
        <v>4950207</v>
      </c>
      <c r="B1780" s="503" t="s">
        <v>3400</v>
      </c>
      <c r="C1780" s="514">
        <v>0</v>
      </c>
      <c r="D1780" s="514">
        <v>0</v>
      </c>
      <c r="E1780" s="514">
        <v>0</v>
      </c>
      <c r="F1780" s="514">
        <v>0</v>
      </c>
      <c r="G1780" s="514">
        <v>0</v>
      </c>
      <c r="H1780" s="514">
        <v>0</v>
      </c>
      <c r="I1780" s="514">
        <v>0</v>
      </c>
      <c r="J1780" s="514">
        <v>0</v>
      </c>
      <c r="K1780" s="514">
        <v>0</v>
      </c>
      <c r="L1780" s="514">
        <v>0</v>
      </c>
      <c r="M1780" s="514">
        <v>0</v>
      </c>
      <c r="N1780" s="514">
        <v>0</v>
      </c>
      <c r="O1780" s="499"/>
      <c r="P1780" s="499"/>
      <c r="Q1780" s="499"/>
    </row>
    <row r="1781" spans="1:17" ht="14.4" x14ac:dyDescent="0.3">
      <c r="A1781" s="502">
        <v>4950208</v>
      </c>
      <c r="B1781" s="503" t="s">
        <v>3401</v>
      </c>
      <c r="C1781" s="514">
        <v>0</v>
      </c>
      <c r="D1781" s="514">
        <v>0</v>
      </c>
      <c r="E1781" s="514">
        <v>0</v>
      </c>
      <c r="F1781" s="514">
        <v>0</v>
      </c>
      <c r="G1781" s="514">
        <v>0</v>
      </c>
      <c r="H1781" s="514">
        <v>0</v>
      </c>
      <c r="I1781" s="514">
        <v>0</v>
      </c>
      <c r="J1781" s="514">
        <v>0</v>
      </c>
      <c r="K1781" s="514">
        <v>0</v>
      </c>
      <c r="L1781" s="514">
        <v>0</v>
      </c>
      <c r="M1781" s="514">
        <v>0</v>
      </c>
      <c r="N1781" s="514">
        <v>0</v>
      </c>
      <c r="O1781" s="499"/>
      <c r="P1781" s="499"/>
      <c r="Q1781" s="499"/>
    </row>
    <row r="1782" spans="1:17" ht="14.4" x14ac:dyDescent="0.3">
      <c r="A1782" s="502">
        <v>4950209</v>
      </c>
      <c r="B1782" s="503" t="s">
        <v>3402</v>
      </c>
      <c r="C1782" s="514">
        <v>0</v>
      </c>
      <c r="D1782" s="514">
        <v>0</v>
      </c>
      <c r="E1782" s="514">
        <v>0</v>
      </c>
      <c r="F1782" s="514">
        <v>0</v>
      </c>
      <c r="G1782" s="514">
        <v>0</v>
      </c>
      <c r="H1782" s="514">
        <v>0</v>
      </c>
      <c r="I1782" s="514">
        <v>0</v>
      </c>
      <c r="J1782" s="514">
        <v>0</v>
      </c>
      <c r="K1782" s="514">
        <v>0</v>
      </c>
      <c r="L1782" s="514">
        <v>0</v>
      </c>
      <c r="M1782" s="514">
        <v>0</v>
      </c>
      <c r="N1782" s="514">
        <v>0</v>
      </c>
      <c r="O1782" s="499"/>
      <c r="P1782" s="499"/>
      <c r="Q1782" s="499"/>
    </row>
    <row r="1783" spans="1:17" ht="14.4" x14ac:dyDescent="0.3">
      <c r="A1783" s="502">
        <v>4950210</v>
      </c>
      <c r="B1783" s="503" t="s">
        <v>3403</v>
      </c>
      <c r="C1783" s="514">
        <v>0</v>
      </c>
      <c r="D1783" s="514">
        <v>0</v>
      </c>
      <c r="E1783" s="514">
        <v>0</v>
      </c>
      <c r="F1783" s="514">
        <v>0</v>
      </c>
      <c r="G1783" s="514">
        <v>0</v>
      </c>
      <c r="H1783" s="514">
        <v>0</v>
      </c>
      <c r="I1783" s="514">
        <v>0</v>
      </c>
      <c r="J1783" s="514">
        <v>0</v>
      </c>
      <c r="K1783" s="514">
        <v>0</v>
      </c>
      <c r="L1783" s="514">
        <v>0</v>
      </c>
      <c r="M1783" s="514">
        <v>0</v>
      </c>
      <c r="N1783" s="514">
        <v>0</v>
      </c>
      <c r="O1783" s="499"/>
      <c r="P1783" s="499"/>
      <c r="Q1783" s="499"/>
    </row>
    <row r="1784" spans="1:17" ht="14.4" x14ac:dyDescent="0.3">
      <c r="A1784" s="502">
        <v>4950211</v>
      </c>
      <c r="B1784" s="503" t="s">
        <v>3404</v>
      </c>
      <c r="C1784" s="514">
        <v>0</v>
      </c>
      <c r="D1784" s="514">
        <v>0</v>
      </c>
      <c r="E1784" s="514">
        <v>0</v>
      </c>
      <c r="F1784" s="514">
        <v>0</v>
      </c>
      <c r="G1784" s="514">
        <v>0</v>
      </c>
      <c r="H1784" s="514">
        <v>0</v>
      </c>
      <c r="I1784" s="514">
        <v>0</v>
      </c>
      <c r="J1784" s="514">
        <v>0</v>
      </c>
      <c r="K1784" s="514">
        <v>0</v>
      </c>
      <c r="L1784" s="514">
        <v>0</v>
      </c>
      <c r="M1784" s="514">
        <v>0</v>
      </c>
      <c r="N1784" s="514">
        <v>0</v>
      </c>
      <c r="O1784" s="499"/>
      <c r="P1784" s="499"/>
      <c r="Q1784" s="499"/>
    </row>
    <row r="1785" spans="1:17" ht="14.4" x14ac:dyDescent="0.3">
      <c r="A1785" s="502">
        <v>4950212</v>
      </c>
      <c r="B1785" s="503" t="s">
        <v>3405</v>
      </c>
      <c r="C1785" s="514">
        <v>0</v>
      </c>
      <c r="D1785" s="514">
        <v>0</v>
      </c>
      <c r="E1785" s="514">
        <v>0</v>
      </c>
      <c r="F1785" s="514">
        <v>0</v>
      </c>
      <c r="G1785" s="514">
        <v>0</v>
      </c>
      <c r="H1785" s="514">
        <v>0</v>
      </c>
      <c r="I1785" s="514">
        <v>0</v>
      </c>
      <c r="J1785" s="514">
        <v>0</v>
      </c>
      <c r="K1785" s="514">
        <v>0</v>
      </c>
      <c r="L1785" s="514">
        <v>0</v>
      </c>
      <c r="M1785" s="514">
        <v>0</v>
      </c>
      <c r="N1785" s="514">
        <v>0</v>
      </c>
      <c r="O1785" s="499"/>
      <c r="P1785" s="499"/>
      <c r="Q1785" s="499"/>
    </row>
    <row r="1786" spans="1:17" ht="14.4" x14ac:dyDescent="0.3">
      <c r="A1786" s="502">
        <v>4950213</v>
      </c>
      <c r="B1786" s="503" t="s">
        <v>3406</v>
      </c>
      <c r="C1786" s="514">
        <v>0</v>
      </c>
      <c r="D1786" s="514">
        <v>0</v>
      </c>
      <c r="E1786" s="514">
        <v>0</v>
      </c>
      <c r="F1786" s="514">
        <v>0</v>
      </c>
      <c r="G1786" s="514">
        <v>0</v>
      </c>
      <c r="H1786" s="514">
        <v>0</v>
      </c>
      <c r="I1786" s="514">
        <v>0</v>
      </c>
      <c r="J1786" s="514">
        <v>0</v>
      </c>
      <c r="K1786" s="514">
        <v>0</v>
      </c>
      <c r="L1786" s="514">
        <v>0</v>
      </c>
      <c r="M1786" s="514">
        <v>0</v>
      </c>
      <c r="N1786" s="514">
        <v>0</v>
      </c>
      <c r="O1786" s="499"/>
      <c r="P1786" s="499"/>
      <c r="Q1786" s="499"/>
    </row>
    <row r="1787" spans="1:17" ht="14.4" x14ac:dyDescent="0.3">
      <c r="A1787" s="502">
        <v>4950214</v>
      </c>
      <c r="B1787" s="503" t="s">
        <v>3407</v>
      </c>
      <c r="C1787" s="514">
        <v>0</v>
      </c>
      <c r="D1787" s="514">
        <v>0</v>
      </c>
      <c r="E1787" s="514">
        <v>0</v>
      </c>
      <c r="F1787" s="514">
        <v>0</v>
      </c>
      <c r="G1787" s="514">
        <v>0</v>
      </c>
      <c r="H1787" s="514">
        <v>0</v>
      </c>
      <c r="I1787" s="514">
        <v>0</v>
      </c>
      <c r="J1787" s="514">
        <v>0</v>
      </c>
      <c r="K1787" s="514">
        <v>0</v>
      </c>
      <c r="L1787" s="514">
        <v>0</v>
      </c>
      <c r="M1787" s="514">
        <v>0</v>
      </c>
      <c r="N1787" s="514">
        <v>0</v>
      </c>
      <c r="O1787" s="499"/>
      <c r="P1787" s="499"/>
      <c r="Q1787" s="499"/>
    </row>
    <row r="1788" spans="1:17" ht="14.4" x14ac:dyDescent="0.3">
      <c r="A1788" s="502">
        <v>4950215</v>
      </c>
      <c r="B1788" s="503" t="s">
        <v>3408</v>
      </c>
      <c r="C1788" s="514">
        <v>0</v>
      </c>
      <c r="D1788" s="514">
        <v>0</v>
      </c>
      <c r="E1788" s="514">
        <v>0</v>
      </c>
      <c r="F1788" s="514">
        <v>0</v>
      </c>
      <c r="G1788" s="514">
        <v>0</v>
      </c>
      <c r="H1788" s="514">
        <v>0</v>
      </c>
      <c r="I1788" s="514">
        <v>0</v>
      </c>
      <c r="J1788" s="514">
        <v>0</v>
      </c>
      <c r="K1788" s="514">
        <v>0</v>
      </c>
      <c r="L1788" s="514">
        <v>0</v>
      </c>
      <c r="M1788" s="514">
        <v>0</v>
      </c>
      <c r="N1788" s="514">
        <v>0</v>
      </c>
      <c r="O1788" s="499"/>
      <c r="P1788" s="499"/>
      <c r="Q1788" s="499"/>
    </row>
    <row r="1789" spans="1:17" ht="14.4" x14ac:dyDescent="0.3">
      <c r="A1789" s="502">
        <v>4950220</v>
      </c>
      <c r="B1789" s="503" t="s">
        <v>3409</v>
      </c>
      <c r="C1789" s="514">
        <v>0</v>
      </c>
      <c r="D1789" s="514">
        <v>0</v>
      </c>
      <c r="E1789" s="514">
        <v>0</v>
      </c>
      <c r="F1789" s="514">
        <v>0</v>
      </c>
      <c r="G1789" s="514">
        <v>0</v>
      </c>
      <c r="H1789" s="514">
        <v>0</v>
      </c>
      <c r="I1789" s="514">
        <v>0</v>
      </c>
      <c r="J1789" s="514">
        <v>0</v>
      </c>
      <c r="K1789" s="514">
        <v>0</v>
      </c>
      <c r="L1789" s="514">
        <v>0</v>
      </c>
      <c r="M1789" s="514">
        <v>0</v>
      </c>
      <c r="N1789" s="514">
        <v>0</v>
      </c>
      <c r="O1789" s="499"/>
      <c r="P1789" s="499"/>
      <c r="Q1789" s="499"/>
    </row>
    <row r="1790" spans="1:17" ht="14.4" x14ac:dyDescent="0.3">
      <c r="A1790" s="502">
        <v>4950271</v>
      </c>
      <c r="B1790" s="503" t="s">
        <v>3410</v>
      </c>
      <c r="C1790" s="514">
        <v>0</v>
      </c>
      <c r="D1790" s="514">
        <v>0</v>
      </c>
      <c r="E1790" s="514">
        <v>0</v>
      </c>
      <c r="F1790" s="514">
        <v>0</v>
      </c>
      <c r="G1790" s="514">
        <v>0</v>
      </c>
      <c r="H1790" s="514">
        <v>0</v>
      </c>
      <c r="I1790" s="514">
        <v>0</v>
      </c>
      <c r="J1790" s="514">
        <v>0</v>
      </c>
      <c r="K1790" s="514">
        <v>0</v>
      </c>
      <c r="L1790" s="514">
        <v>0</v>
      </c>
      <c r="M1790" s="514">
        <v>0</v>
      </c>
      <c r="N1790" s="514">
        <v>0</v>
      </c>
      <c r="O1790" s="499"/>
      <c r="P1790" s="499"/>
      <c r="Q1790" s="499"/>
    </row>
    <row r="1791" spans="1:17" ht="14.4" x14ac:dyDescent="0.3">
      <c r="A1791" s="502">
        <v>4950400</v>
      </c>
      <c r="B1791" s="503" t="s">
        <v>3411</v>
      </c>
      <c r="C1791" s="514">
        <v>0</v>
      </c>
      <c r="D1791" s="514">
        <v>0</v>
      </c>
      <c r="E1791" s="514">
        <v>0</v>
      </c>
      <c r="F1791" s="514">
        <v>0</v>
      </c>
      <c r="G1791" s="514">
        <v>0</v>
      </c>
      <c r="H1791" s="514">
        <v>0</v>
      </c>
      <c r="I1791" s="514">
        <v>0</v>
      </c>
      <c r="J1791" s="514">
        <v>0</v>
      </c>
      <c r="K1791" s="514">
        <v>0</v>
      </c>
      <c r="L1791" s="514">
        <v>0</v>
      </c>
      <c r="M1791" s="514">
        <v>0</v>
      </c>
      <c r="N1791" s="514">
        <v>0</v>
      </c>
      <c r="O1791" s="499"/>
      <c r="P1791" s="499"/>
      <c r="Q1791" s="499"/>
    </row>
    <row r="1792" spans="1:17" ht="14.4" x14ac:dyDescent="0.3">
      <c r="A1792" s="502">
        <v>4950800</v>
      </c>
      <c r="B1792" s="503" t="s">
        <v>3412</v>
      </c>
      <c r="C1792" s="514">
        <v>0</v>
      </c>
      <c r="D1792" s="514">
        <v>0</v>
      </c>
      <c r="E1792" s="514">
        <v>0</v>
      </c>
      <c r="F1792" s="514">
        <v>0</v>
      </c>
      <c r="G1792" s="514">
        <v>0</v>
      </c>
      <c r="H1792" s="514">
        <v>0</v>
      </c>
      <c r="I1792" s="514">
        <v>0</v>
      </c>
      <c r="J1792" s="514">
        <v>0</v>
      </c>
      <c r="K1792" s="514">
        <v>0</v>
      </c>
      <c r="L1792" s="514">
        <v>0</v>
      </c>
      <c r="M1792" s="514">
        <v>0</v>
      </c>
      <c r="N1792" s="514">
        <v>0</v>
      </c>
      <c r="O1792" s="499"/>
      <c r="P1792" s="499"/>
      <c r="Q1792" s="499"/>
    </row>
    <row r="1793" spans="1:17" ht="14.4" x14ac:dyDescent="0.3">
      <c r="A1793" s="502">
        <v>4960000</v>
      </c>
      <c r="B1793" s="503" t="s">
        <v>3413</v>
      </c>
      <c r="C1793" s="514">
        <v>0</v>
      </c>
      <c r="D1793" s="514">
        <v>0</v>
      </c>
      <c r="E1793" s="514">
        <v>0</v>
      </c>
      <c r="F1793" s="514">
        <v>0</v>
      </c>
      <c r="G1793" s="514">
        <v>0</v>
      </c>
      <c r="H1793" s="514">
        <v>0</v>
      </c>
      <c r="I1793" s="514">
        <v>0</v>
      </c>
      <c r="J1793" s="514">
        <v>0</v>
      </c>
      <c r="K1793" s="514">
        <v>0</v>
      </c>
      <c r="L1793" s="514">
        <v>0</v>
      </c>
      <c r="M1793" s="514">
        <v>0</v>
      </c>
      <c r="N1793" s="514">
        <v>0</v>
      </c>
      <c r="O1793" s="499"/>
      <c r="P1793" s="499"/>
      <c r="Q1793" s="499"/>
    </row>
    <row r="1794" spans="1:17" ht="14.4" x14ac:dyDescent="0.3">
      <c r="A1794" s="502">
        <v>6010110</v>
      </c>
      <c r="B1794" s="503" t="s">
        <v>736</v>
      </c>
      <c r="C1794" s="514">
        <v>0</v>
      </c>
      <c r="D1794" s="514">
        <v>0</v>
      </c>
      <c r="E1794" s="514">
        <v>0</v>
      </c>
      <c r="F1794" s="514">
        <v>0</v>
      </c>
      <c r="G1794" s="514">
        <v>0</v>
      </c>
      <c r="H1794" s="514">
        <v>0</v>
      </c>
      <c r="I1794" s="514">
        <v>0</v>
      </c>
      <c r="J1794" s="514">
        <v>0</v>
      </c>
      <c r="K1794" s="514">
        <v>0</v>
      </c>
      <c r="L1794" s="514">
        <v>0</v>
      </c>
      <c r="M1794" s="514">
        <v>0</v>
      </c>
      <c r="N1794" s="514">
        <v>0</v>
      </c>
      <c r="O1794" s="499"/>
      <c r="P1794" s="499"/>
      <c r="Q1794" s="499"/>
    </row>
    <row r="1795" spans="1:17" ht="14.4" x14ac:dyDescent="0.3">
      <c r="A1795" s="502">
        <v>6010120</v>
      </c>
      <c r="B1795" s="503" t="s">
        <v>738</v>
      </c>
      <c r="C1795" s="514">
        <v>0</v>
      </c>
      <c r="D1795" s="514">
        <v>0</v>
      </c>
      <c r="E1795" s="514">
        <v>0</v>
      </c>
      <c r="F1795" s="514">
        <v>0</v>
      </c>
      <c r="G1795" s="514">
        <v>0</v>
      </c>
      <c r="H1795" s="514">
        <v>0</v>
      </c>
      <c r="I1795" s="514">
        <v>0</v>
      </c>
      <c r="J1795" s="514">
        <v>0</v>
      </c>
      <c r="K1795" s="514">
        <v>0</v>
      </c>
      <c r="L1795" s="514">
        <v>0</v>
      </c>
      <c r="M1795" s="514">
        <v>0</v>
      </c>
      <c r="N1795" s="514">
        <v>0</v>
      </c>
      <c r="O1795" s="499"/>
      <c r="P1795" s="499"/>
      <c r="Q1795" s="499"/>
    </row>
    <row r="1796" spans="1:17" ht="14.4" x14ac:dyDescent="0.3">
      <c r="A1796" s="502">
        <v>6010130</v>
      </c>
      <c r="B1796" s="503" t="s">
        <v>740</v>
      </c>
      <c r="C1796" s="514">
        <v>0</v>
      </c>
      <c r="D1796" s="514">
        <v>0</v>
      </c>
      <c r="E1796" s="514">
        <v>0</v>
      </c>
      <c r="F1796" s="514">
        <v>0</v>
      </c>
      <c r="G1796" s="514">
        <v>0</v>
      </c>
      <c r="H1796" s="514">
        <v>0</v>
      </c>
      <c r="I1796" s="514">
        <v>0</v>
      </c>
      <c r="J1796" s="514">
        <v>0</v>
      </c>
      <c r="K1796" s="514">
        <v>0</v>
      </c>
      <c r="L1796" s="514">
        <v>0</v>
      </c>
      <c r="M1796" s="514">
        <v>0</v>
      </c>
      <c r="N1796" s="514">
        <v>0</v>
      </c>
      <c r="O1796" s="499"/>
      <c r="P1796" s="499"/>
      <c r="Q1796" s="499"/>
    </row>
    <row r="1797" spans="1:17" ht="14.4" x14ac:dyDescent="0.3">
      <c r="A1797" s="502">
        <v>6010210</v>
      </c>
      <c r="B1797" s="503" t="s">
        <v>742</v>
      </c>
      <c r="C1797" s="514">
        <v>0</v>
      </c>
      <c r="D1797" s="514">
        <v>0</v>
      </c>
      <c r="E1797" s="514">
        <v>0</v>
      </c>
      <c r="F1797" s="514">
        <v>0</v>
      </c>
      <c r="G1797" s="514">
        <v>0</v>
      </c>
      <c r="H1797" s="514">
        <v>0</v>
      </c>
      <c r="I1797" s="514">
        <v>0</v>
      </c>
      <c r="J1797" s="514">
        <v>0</v>
      </c>
      <c r="K1797" s="514">
        <v>0</v>
      </c>
      <c r="L1797" s="514">
        <v>0</v>
      </c>
      <c r="M1797" s="514">
        <v>0</v>
      </c>
      <c r="N1797" s="514">
        <v>0</v>
      </c>
      <c r="O1797" s="499"/>
      <c r="P1797" s="499"/>
      <c r="Q1797" s="499"/>
    </row>
    <row r="1798" spans="1:17" ht="14.4" x14ac:dyDescent="0.3">
      <c r="A1798" s="502">
        <v>6010220</v>
      </c>
      <c r="B1798" s="503" t="s">
        <v>744</v>
      </c>
      <c r="C1798" s="514">
        <v>0</v>
      </c>
      <c r="D1798" s="514">
        <v>0</v>
      </c>
      <c r="E1798" s="514">
        <v>0</v>
      </c>
      <c r="F1798" s="514">
        <v>0</v>
      </c>
      <c r="G1798" s="514">
        <v>0</v>
      </c>
      <c r="H1798" s="514">
        <v>0</v>
      </c>
      <c r="I1798" s="514">
        <v>0</v>
      </c>
      <c r="J1798" s="514">
        <v>0</v>
      </c>
      <c r="K1798" s="514">
        <v>0</v>
      </c>
      <c r="L1798" s="514">
        <v>0</v>
      </c>
      <c r="M1798" s="514">
        <v>0</v>
      </c>
      <c r="N1798" s="514">
        <v>0</v>
      </c>
      <c r="O1798" s="499"/>
      <c r="P1798" s="499"/>
      <c r="Q1798" s="499"/>
    </row>
    <row r="1799" spans="1:17" ht="14.4" x14ac:dyDescent="0.3">
      <c r="A1799" s="502">
        <v>6010230</v>
      </c>
      <c r="B1799" s="503" t="s">
        <v>746</v>
      </c>
      <c r="C1799" s="514">
        <v>0</v>
      </c>
      <c r="D1799" s="514">
        <v>0</v>
      </c>
      <c r="E1799" s="514">
        <v>0</v>
      </c>
      <c r="F1799" s="514">
        <v>0</v>
      </c>
      <c r="G1799" s="514">
        <v>0</v>
      </c>
      <c r="H1799" s="514">
        <v>0</v>
      </c>
      <c r="I1799" s="514">
        <v>0</v>
      </c>
      <c r="J1799" s="514">
        <v>0</v>
      </c>
      <c r="K1799" s="514">
        <v>0</v>
      </c>
      <c r="L1799" s="514">
        <v>0</v>
      </c>
      <c r="M1799" s="514">
        <v>0</v>
      </c>
      <c r="N1799" s="514">
        <v>0</v>
      </c>
      <c r="O1799" s="499"/>
      <c r="P1799" s="499"/>
      <c r="Q1799" s="499"/>
    </row>
    <row r="1800" spans="1:17" ht="14.4" x14ac:dyDescent="0.3">
      <c r="A1800" s="502">
        <v>6010310</v>
      </c>
      <c r="B1800" s="503" t="s">
        <v>748</v>
      </c>
      <c r="C1800" s="514">
        <v>0</v>
      </c>
      <c r="D1800" s="514">
        <v>0</v>
      </c>
      <c r="E1800" s="514">
        <v>0</v>
      </c>
      <c r="F1800" s="514">
        <v>0</v>
      </c>
      <c r="G1800" s="514">
        <v>0</v>
      </c>
      <c r="H1800" s="514">
        <v>0</v>
      </c>
      <c r="I1800" s="514">
        <v>0</v>
      </c>
      <c r="J1800" s="514">
        <v>0</v>
      </c>
      <c r="K1800" s="514">
        <v>0</v>
      </c>
      <c r="L1800" s="514">
        <v>0</v>
      </c>
      <c r="M1800" s="514">
        <v>0</v>
      </c>
      <c r="N1800" s="514">
        <v>0</v>
      </c>
      <c r="O1800" s="499"/>
      <c r="P1800" s="499"/>
      <c r="Q1800" s="499"/>
    </row>
    <row r="1801" spans="1:17" ht="14.4" x14ac:dyDescent="0.3">
      <c r="A1801" s="502">
        <v>6010320</v>
      </c>
      <c r="B1801" s="503" t="s">
        <v>750</v>
      </c>
      <c r="C1801" s="514">
        <v>0</v>
      </c>
      <c r="D1801" s="514">
        <v>0</v>
      </c>
      <c r="E1801" s="514">
        <v>0</v>
      </c>
      <c r="F1801" s="514">
        <v>0</v>
      </c>
      <c r="G1801" s="514">
        <v>0</v>
      </c>
      <c r="H1801" s="515">
        <v>0</v>
      </c>
      <c r="I1801" s="514">
        <v>0</v>
      </c>
      <c r="J1801" s="514">
        <v>0</v>
      </c>
      <c r="K1801" s="514">
        <v>0</v>
      </c>
      <c r="L1801" s="514">
        <v>0</v>
      </c>
      <c r="M1801" s="514">
        <v>0</v>
      </c>
      <c r="N1801" s="514">
        <v>0</v>
      </c>
      <c r="O1801" s="499"/>
      <c r="P1801" s="499"/>
      <c r="Q1801" s="499"/>
    </row>
    <row r="1802" spans="1:17" ht="14.4" x14ac:dyDescent="0.3">
      <c r="A1802" s="502">
        <v>6010330</v>
      </c>
      <c r="B1802" s="503" t="s">
        <v>752</v>
      </c>
      <c r="C1802" s="514">
        <v>0</v>
      </c>
      <c r="D1802" s="514">
        <v>0</v>
      </c>
      <c r="E1802" s="514">
        <v>0</v>
      </c>
      <c r="F1802" s="514">
        <v>0</v>
      </c>
      <c r="G1802" s="514">
        <v>0</v>
      </c>
      <c r="H1802" s="514">
        <v>0</v>
      </c>
      <c r="I1802" s="514">
        <v>0</v>
      </c>
      <c r="J1802" s="514">
        <v>0</v>
      </c>
      <c r="K1802" s="514">
        <v>0</v>
      </c>
      <c r="L1802" s="514">
        <v>0</v>
      </c>
      <c r="M1802" s="514">
        <v>0</v>
      </c>
      <c r="N1802" s="514">
        <v>0</v>
      </c>
      <c r="O1802" s="499"/>
      <c r="P1802" s="499"/>
      <c r="Q1802" s="499"/>
    </row>
    <row r="1803" spans="1:17" ht="14.4" x14ac:dyDescent="0.3">
      <c r="A1803" s="502">
        <v>6010400</v>
      </c>
      <c r="B1803" s="503" t="s">
        <v>754</v>
      </c>
      <c r="C1803" s="514">
        <v>0</v>
      </c>
      <c r="D1803" s="514">
        <v>0</v>
      </c>
      <c r="E1803" s="514">
        <v>0</v>
      </c>
      <c r="F1803" s="514">
        <v>0</v>
      </c>
      <c r="G1803" s="514">
        <v>0</v>
      </c>
      <c r="H1803" s="514">
        <v>0</v>
      </c>
      <c r="I1803" s="514">
        <v>0</v>
      </c>
      <c r="J1803" s="514">
        <v>0</v>
      </c>
      <c r="K1803" s="514">
        <v>0</v>
      </c>
      <c r="L1803" s="514">
        <v>0</v>
      </c>
      <c r="M1803" s="514">
        <v>0</v>
      </c>
      <c r="N1803" s="514">
        <v>0</v>
      </c>
      <c r="O1803" s="499"/>
      <c r="P1803" s="499"/>
      <c r="Q1803" s="499"/>
    </row>
    <row r="1804" spans="1:17" ht="14.4" x14ac:dyDescent="0.3">
      <c r="A1804" s="502">
        <v>6010900</v>
      </c>
      <c r="B1804" s="503" t="s">
        <v>756</v>
      </c>
      <c r="C1804" s="514">
        <v>0</v>
      </c>
      <c r="D1804" s="514">
        <v>0</v>
      </c>
      <c r="E1804" s="514">
        <v>0</v>
      </c>
      <c r="F1804" s="514">
        <v>0</v>
      </c>
      <c r="G1804" s="514">
        <v>0</v>
      </c>
      <c r="H1804" s="514">
        <v>0</v>
      </c>
      <c r="I1804" s="514">
        <v>0</v>
      </c>
      <c r="J1804" s="514">
        <v>0</v>
      </c>
      <c r="K1804" s="514">
        <v>0</v>
      </c>
      <c r="L1804" s="514">
        <v>0</v>
      </c>
      <c r="M1804" s="514">
        <v>0</v>
      </c>
      <c r="N1804" s="514">
        <v>0</v>
      </c>
      <c r="O1804" s="499"/>
      <c r="P1804" s="499"/>
      <c r="Q1804" s="499"/>
    </row>
    <row r="1805" spans="1:17" ht="14.4" x14ac:dyDescent="0.3">
      <c r="A1805" s="502">
        <v>6010910</v>
      </c>
      <c r="B1805" s="503" t="s">
        <v>760</v>
      </c>
      <c r="C1805" s="514">
        <v>0</v>
      </c>
      <c r="D1805" s="514">
        <v>0</v>
      </c>
      <c r="E1805" s="514">
        <v>0</v>
      </c>
      <c r="F1805" s="514">
        <v>0</v>
      </c>
      <c r="G1805" s="514">
        <v>0</v>
      </c>
      <c r="H1805" s="514">
        <v>0</v>
      </c>
      <c r="I1805" s="514">
        <v>0</v>
      </c>
      <c r="J1805" s="514">
        <v>0</v>
      </c>
      <c r="K1805" s="514">
        <v>0</v>
      </c>
      <c r="L1805" s="514">
        <v>0</v>
      </c>
      <c r="M1805" s="514">
        <v>0</v>
      </c>
      <c r="N1805" s="514">
        <v>0</v>
      </c>
      <c r="O1805" s="499"/>
      <c r="P1805" s="499"/>
      <c r="Q1805" s="499"/>
    </row>
    <row r="1806" spans="1:17" ht="14.4" x14ac:dyDescent="0.3">
      <c r="A1806" s="502">
        <v>6010990</v>
      </c>
      <c r="B1806" s="503" t="s">
        <v>758</v>
      </c>
      <c r="C1806" s="514">
        <v>0</v>
      </c>
      <c r="D1806" s="514">
        <v>0</v>
      </c>
      <c r="E1806" s="514">
        <v>0</v>
      </c>
      <c r="F1806" s="514">
        <v>0</v>
      </c>
      <c r="G1806" s="514">
        <v>0</v>
      </c>
      <c r="H1806" s="514">
        <v>0</v>
      </c>
      <c r="I1806" s="514">
        <v>0</v>
      </c>
      <c r="J1806" s="514">
        <v>0</v>
      </c>
      <c r="K1806" s="514">
        <v>0</v>
      </c>
      <c r="L1806" s="514">
        <v>0</v>
      </c>
      <c r="M1806" s="514">
        <v>0</v>
      </c>
      <c r="N1806" s="514">
        <v>0</v>
      </c>
      <c r="O1806" s="499"/>
      <c r="P1806" s="499"/>
      <c r="Q1806" s="499"/>
    </row>
    <row r="1807" spans="1:17" ht="14.4" x14ac:dyDescent="0.3">
      <c r="A1807" s="502">
        <v>6018999</v>
      </c>
      <c r="B1807" s="503" t="s">
        <v>762</v>
      </c>
      <c r="C1807" s="514">
        <v>309137.68</v>
      </c>
      <c r="D1807" s="514">
        <v>309137.68</v>
      </c>
      <c r="E1807" s="514">
        <v>309137.68</v>
      </c>
      <c r="F1807" s="514">
        <v>317683.90999999997</v>
      </c>
      <c r="G1807" s="514">
        <v>317683.90999999997</v>
      </c>
      <c r="H1807" s="514">
        <v>317683.90999999997</v>
      </c>
      <c r="I1807" s="514">
        <v>321957.02</v>
      </c>
      <c r="J1807" s="514">
        <v>321957.02</v>
      </c>
      <c r="K1807" s="514">
        <v>321957.02</v>
      </c>
      <c r="L1807" s="514">
        <v>326230.13</v>
      </c>
      <c r="M1807" s="514">
        <v>326230.13</v>
      </c>
      <c r="N1807" s="514">
        <v>347599.69</v>
      </c>
      <c r="O1807" s="499"/>
      <c r="P1807" s="499"/>
      <c r="Q1807" s="499"/>
    </row>
    <row r="1808" spans="1:17" ht="14.4" x14ac:dyDescent="0.3">
      <c r="A1808" s="502">
        <v>6019000</v>
      </c>
      <c r="B1808" s="503" t="s">
        <v>764</v>
      </c>
      <c r="C1808" s="514">
        <v>0</v>
      </c>
      <c r="D1808" s="514">
        <v>0</v>
      </c>
      <c r="E1808" s="514">
        <v>0</v>
      </c>
      <c r="F1808" s="514">
        <v>0</v>
      </c>
      <c r="G1808" s="514">
        <v>0</v>
      </c>
      <c r="H1808" s="514">
        <v>0</v>
      </c>
      <c r="I1808" s="514">
        <v>0</v>
      </c>
      <c r="J1808" s="514">
        <v>0</v>
      </c>
      <c r="K1808" s="514">
        <v>0</v>
      </c>
      <c r="L1808" s="514">
        <v>0</v>
      </c>
      <c r="M1808" s="514">
        <v>0</v>
      </c>
      <c r="N1808" s="514">
        <v>0</v>
      </c>
      <c r="O1808" s="499"/>
      <c r="P1808" s="499"/>
      <c r="Q1808" s="499"/>
    </row>
    <row r="1809" spans="1:17" ht="14.4" x14ac:dyDescent="0.3">
      <c r="A1809" s="502">
        <v>6019900</v>
      </c>
      <c r="B1809" s="503" t="s">
        <v>766</v>
      </c>
      <c r="C1809" s="514">
        <v>0</v>
      </c>
      <c r="D1809" s="514">
        <v>0</v>
      </c>
      <c r="E1809" s="514">
        <v>0</v>
      </c>
      <c r="F1809" s="514">
        <v>0</v>
      </c>
      <c r="G1809" s="514">
        <v>0</v>
      </c>
      <c r="H1809" s="514">
        <v>0</v>
      </c>
      <c r="I1809" s="514">
        <v>0</v>
      </c>
      <c r="J1809" s="514">
        <v>0</v>
      </c>
      <c r="K1809" s="514">
        <v>0</v>
      </c>
      <c r="L1809" s="514">
        <v>0</v>
      </c>
      <c r="M1809" s="514">
        <v>0</v>
      </c>
      <c r="N1809" s="514">
        <v>0</v>
      </c>
      <c r="O1809" s="499"/>
      <c r="P1809" s="499"/>
      <c r="Q1809" s="499"/>
    </row>
    <row r="1810" spans="1:17" ht="14.4" x14ac:dyDescent="0.3">
      <c r="A1810" s="502">
        <v>6019910</v>
      </c>
      <c r="B1810" s="503" t="s">
        <v>768</v>
      </c>
      <c r="C1810" s="514">
        <v>0</v>
      </c>
      <c r="D1810" s="514">
        <v>0</v>
      </c>
      <c r="E1810" s="514">
        <v>0</v>
      </c>
      <c r="F1810" s="514">
        <v>0</v>
      </c>
      <c r="G1810" s="514">
        <v>0</v>
      </c>
      <c r="H1810" s="514">
        <v>0</v>
      </c>
      <c r="I1810" s="514">
        <v>0</v>
      </c>
      <c r="J1810" s="514">
        <v>0</v>
      </c>
      <c r="K1810" s="514">
        <v>0</v>
      </c>
      <c r="L1810" s="514">
        <v>0</v>
      </c>
      <c r="M1810" s="514">
        <v>0</v>
      </c>
      <c r="N1810" s="514">
        <v>0</v>
      </c>
      <c r="O1810" s="499"/>
      <c r="P1810" s="499"/>
      <c r="Q1810" s="499"/>
    </row>
    <row r="1811" spans="1:17" ht="14.4" x14ac:dyDescent="0.3">
      <c r="A1811" s="502">
        <v>6020010</v>
      </c>
      <c r="B1811" s="503" t="s">
        <v>784</v>
      </c>
      <c r="C1811" s="514">
        <v>0</v>
      </c>
      <c r="D1811" s="514">
        <v>0</v>
      </c>
      <c r="E1811" s="514">
        <v>0</v>
      </c>
      <c r="F1811" s="514">
        <v>0</v>
      </c>
      <c r="G1811" s="514">
        <v>0</v>
      </c>
      <c r="H1811" s="514">
        <v>0</v>
      </c>
      <c r="I1811" s="514">
        <v>0</v>
      </c>
      <c r="J1811" s="514">
        <v>0</v>
      </c>
      <c r="K1811" s="514">
        <v>0</v>
      </c>
      <c r="L1811" s="514">
        <v>0</v>
      </c>
      <c r="M1811" s="514">
        <v>0</v>
      </c>
      <c r="N1811" s="514">
        <v>0</v>
      </c>
      <c r="O1811" s="499"/>
      <c r="P1811" s="499"/>
      <c r="Q1811" s="499"/>
    </row>
    <row r="1812" spans="1:17" ht="14.4" x14ac:dyDescent="0.3">
      <c r="A1812" s="502">
        <v>6020020</v>
      </c>
      <c r="B1812" s="503" t="s">
        <v>786</v>
      </c>
      <c r="C1812" s="514">
        <v>0</v>
      </c>
      <c r="D1812" s="514">
        <v>0</v>
      </c>
      <c r="E1812" s="514">
        <v>0</v>
      </c>
      <c r="F1812" s="514">
        <v>0</v>
      </c>
      <c r="G1812" s="514">
        <v>0</v>
      </c>
      <c r="H1812" s="514">
        <v>0</v>
      </c>
      <c r="I1812" s="514">
        <v>0</v>
      </c>
      <c r="J1812" s="514">
        <v>0</v>
      </c>
      <c r="K1812" s="514">
        <v>0</v>
      </c>
      <c r="L1812" s="514">
        <v>0</v>
      </c>
      <c r="M1812" s="514">
        <v>0</v>
      </c>
      <c r="N1812" s="514">
        <v>0</v>
      </c>
      <c r="O1812" s="499"/>
      <c r="P1812" s="499"/>
      <c r="Q1812" s="499"/>
    </row>
    <row r="1813" spans="1:17" ht="14.4" x14ac:dyDescent="0.3">
      <c r="A1813" s="502">
        <v>6020030</v>
      </c>
      <c r="B1813" s="503" t="s">
        <v>788</v>
      </c>
      <c r="C1813" s="514">
        <v>0</v>
      </c>
      <c r="D1813" s="514">
        <v>0</v>
      </c>
      <c r="E1813" s="514">
        <v>0</v>
      </c>
      <c r="F1813" s="514">
        <v>0</v>
      </c>
      <c r="G1813" s="514">
        <v>0</v>
      </c>
      <c r="H1813" s="514">
        <v>0</v>
      </c>
      <c r="I1813" s="514">
        <v>0</v>
      </c>
      <c r="J1813" s="514">
        <v>0</v>
      </c>
      <c r="K1813" s="514">
        <v>0</v>
      </c>
      <c r="L1813" s="514">
        <v>0</v>
      </c>
      <c r="M1813" s="514">
        <v>0</v>
      </c>
      <c r="N1813" s="514">
        <v>0</v>
      </c>
      <c r="O1813" s="499"/>
      <c r="P1813" s="499"/>
      <c r="Q1813" s="499"/>
    </row>
    <row r="1814" spans="1:17" ht="14.4" x14ac:dyDescent="0.3">
      <c r="A1814" s="502">
        <v>6020040</v>
      </c>
      <c r="B1814" s="503" t="s">
        <v>790</v>
      </c>
      <c r="C1814" s="514">
        <v>0</v>
      </c>
      <c r="D1814" s="514">
        <v>0</v>
      </c>
      <c r="E1814" s="514">
        <v>0</v>
      </c>
      <c r="F1814" s="514">
        <v>0</v>
      </c>
      <c r="G1814" s="514">
        <v>0</v>
      </c>
      <c r="H1814" s="514">
        <v>0</v>
      </c>
      <c r="I1814" s="514">
        <v>0</v>
      </c>
      <c r="J1814" s="514">
        <v>0</v>
      </c>
      <c r="K1814" s="514">
        <v>0</v>
      </c>
      <c r="L1814" s="514">
        <v>0</v>
      </c>
      <c r="M1814" s="514">
        <v>0</v>
      </c>
      <c r="N1814" s="514">
        <v>0</v>
      </c>
      <c r="O1814" s="499"/>
      <c r="P1814" s="499"/>
      <c r="Q1814" s="499"/>
    </row>
    <row r="1815" spans="1:17" ht="14.4" x14ac:dyDescent="0.3">
      <c r="A1815" s="502">
        <v>6020050</v>
      </c>
      <c r="B1815" s="503" t="s">
        <v>792</v>
      </c>
      <c r="C1815" s="514">
        <v>0</v>
      </c>
      <c r="D1815" s="514">
        <v>0</v>
      </c>
      <c r="E1815" s="514">
        <v>0</v>
      </c>
      <c r="F1815" s="514">
        <v>0</v>
      </c>
      <c r="G1815" s="514">
        <v>0</v>
      </c>
      <c r="H1815" s="514">
        <v>0</v>
      </c>
      <c r="I1815" s="514">
        <v>0</v>
      </c>
      <c r="J1815" s="514">
        <v>0</v>
      </c>
      <c r="K1815" s="514">
        <v>0</v>
      </c>
      <c r="L1815" s="514">
        <v>0</v>
      </c>
      <c r="M1815" s="514">
        <v>0</v>
      </c>
      <c r="N1815" s="514">
        <v>0</v>
      </c>
      <c r="O1815" s="499"/>
      <c r="P1815" s="499"/>
      <c r="Q1815" s="499"/>
    </row>
    <row r="1816" spans="1:17" ht="14.4" x14ac:dyDescent="0.3">
      <c r="A1816" s="502">
        <v>6020060</v>
      </c>
      <c r="B1816" s="503" t="s">
        <v>794</v>
      </c>
      <c r="C1816" s="514">
        <v>0</v>
      </c>
      <c r="D1816" s="514">
        <v>0</v>
      </c>
      <c r="E1816" s="514">
        <v>0</v>
      </c>
      <c r="F1816" s="514">
        <v>0</v>
      </c>
      <c r="G1816" s="514">
        <v>0</v>
      </c>
      <c r="H1816" s="514">
        <v>0</v>
      </c>
      <c r="I1816" s="514">
        <v>0</v>
      </c>
      <c r="J1816" s="514">
        <v>0</v>
      </c>
      <c r="K1816" s="514">
        <v>0</v>
      </c>
      <c r="L1816" s="514">
        <v>0</v>
      </c>
      <c r="M1816" s="514">
        <v>0</v>
      </c>
      <c r="N1816" s="514">
        <v>0</v>
      </c>
      <c r="O1816" s="499"/>
      <c r="P1816" s="499"/>
      <c r="Q1816" s="499"/>
    </row>
    <row r="1817" spans="1:17" ht="14.4" x14ac:dyDescent="0.3">
      <c r="A1817" s="502">
        <v>6020070</v>
      </c>
      <c r="B1817" s="503" t="s">
        <v>3414</v>
      </c>
      <c r="C1817" s="514">
        <v>0</v>
      </c>
      <c r="D1817" s="514">
        <v>0</v>
      </c>
      <c r="E1817" s="514">
        <v>0</v>
      </c>
      <c r="F1817" s="514">
        <v>0</v>
      </c>
      <c r="G1817" s="514">
        <v>0</v>
      </c>
      <c r="H1817" s="514">
        <v>0</v>
      </c>
      <c r="I1817" s="514">
        <v>0</v>
      </c>
      <c r="J1817" s="514">
        <v>0</v>
      </c>
      <c r="K1817" s="514">
        <v>0</v>
      </c>
      <c r="L1817" s="514">
        <v>0</v>
      </c>
      <c r="M1817" s="514">
        <v>0</v>
      </c>
      <c r="N1817" s="514">
        <v>0</v>
      </c>
      <c r="O1817" s="499"/>
      <c r="P1817" s="499"/>
      <c r="Q1817" s="499"/>
    </row>
    <row r="1818" spans="1:17" ht="14.4" x14ac:dyDescent="0.3">
      <c r="A1818" s="502">
        <v>6020080</v>
      </c>
      <c r="B1818" s="503" t="s">
        <v>796</v>
      </c>
      <c r="C1818" s="514">
        <v>0</v>
      </c>
      <c r="D1818" s="514">
        <v>0</v>
      </c>
      <c r="E1818" s="514">
        <v>0</v>
      </c>
      <c r="F1818" s="514">
        <v>0</v>
      </c>
      <c r="G1818" s="514">
        <v>0</v>
      </c>
      <c r="H1818" s="514">
        <v>0</v>
      </c>
      <c r="I1818" s="514">
        <v>0</v>
      </c>
      <c r="J1818" s="514">
        <v>0</v>
      </c>
      <c r="K1818" s="514">
        <v>0</v>
      </c>
      <c r="L1818" s="514">
        <v>0</v>
      </c>
      <c r="M1818" s="514">
        <v>0</v>
      </c>
      <c r="N1818" s="514">
        <v>0</v>
      </c>
      <c r="O1818" s="499"/>
      <c r="P1818" s="499"/>
      <c r="Q1818" s="499"/>
    </row>
    <row r="1819" spans="1:17" ht="14.4" x14ac:dyDescent="0.3">
      <c r="A1819" s="502">
        <v>6020090</v>
      </c>
      <c r="B1819" s="503" t="s">
        <v>798</v>
      </c>
      <c r="C1819" s="514">
        <v>0</v>
      </c>
      <c r="D1819" s="514">
        <v>0</v>
      </c>
      <c r="E1819" s="514">
        <v>0</v>
      </c>
      <c r="F1819" s="514">
        <v>0</v>
      </c>
      <c r="G1819" s="514">
        <v>0</v>
      </c>
      <c r="H1819" s="514">
        <v>0</v>
      </c>
      <c r="I1819" s="514">
        <v>0</v>
      </c>
      <c r="J1819" s="514">
        <v>0</v>
      </c>
      <c r="K1819" s="514">
        <v>0</v>
      </c>
      <c r="L1819" s="514">
        <v>0</v>
      </c>
      <c r="M1819" s="514">
        <v>0</v>
      </c>
      <c r="N1819" s="514">
        <v>0</v>
      </c>
      <c r="O1819" s="499"/>
      <c r="P1819" s="499"/>
      <c r="Q1819" s="499"/>
    </row>
    <row r="1820" spans="1:17" ht="14.4" x14ac:dyDescent="0.3">
      <c r="A1820" s="502">
        <v>6020100</v>
      </c>
      <c r="B1820" s="503" t="s">
        <v>800</v>
      </c>
      <c r="C1820" s="514">
        <v>0</v>
      </c>
      <c r="D1820" s="514">
        <v>0</v>
      </c>
      <c r="E1820" s="514">
        <v>0</v>
      </c>
      <c r="F1820" s="514">
        <v>0</v>
      </c>
      <c r="G1820" s="514">
        <v>0</v>
      </c>
      <c r="H1820" s="514">
        <v>0</v>
      </c>
      <c r="I1820" s="514">
        <v>0</v>
      </c>
      <c r="J1820" s="514">
        <v>0</v>
      </c>
      <c r="K1820" s="514">
        <v>0</v>
      </c>
      <c r="L1820" s="514">
        <v>0</v>
      </c>
      <c r="M1820" s="514">
        <v>0</v>
      </c>
      <c r="N1820" s="514">
        <v>0</v>
      </c>
      <c r="O1820" s="499"/>
      <c r="P1820" s="499"/>
      <c r="Q1820" s="499"/>
    </row>
    <row r="1821" spans="1:17" ht="14.4" x14ac:dyDescent="0.3">
      <c r="A1821" s="502">
        <v>6020101</v>
      </c>
      <c r="B1821" s="503" t="s">
        <v>3415</v>
      </c>
      <c r="C1821" s="514">
        <v>0</v>
      </c>
      <c r="D1821" s="514">
        <v>0</v>
      </c>
      <c r="E1821" s="514">
        <v>0</v>
      </c>
      <c r="F1821" s="514">
        <v>0</v>
      </c>
      <c r="G1821" s="514">
        <v>0</v>
      </c>
      <c r="H1821" s="514">
        <v>0</v>
      </c>
      <c r="I1821" s="514">
        <v>0</v>
      </c>
      <c r="J1821" s="514">
        <v>0</v>
      </c>
      <c r="K1821" s="514">
        <v>0</v>
      </c>
      <c r="L1821" s="514">
        <v>0</v>
      </c>
      <c r="M1821" s="514">
        <v>0</v>
      </c>
      <c r="N1821" s="514">
        <v>0</v>
      </c>
      <c r="O1821" s="499"/>
      <c r="P1821" s="499"/>
      <c r="Q1821" s="499"/>
    </row>
    <row r="1822" spans="1:17" ht="14.4" x14ac:dyDescent="0.3">
      <c r="A1822" s="502">
        <v>6020110</v>
      </c>
      <c r="B1822" s="503" t="s">
        <v>802</v>
      </c>
      <c r="C1822" s="514">
        <v>0</v>
      </c>
      <c r="D1822" s="514">
        <v>0</v>
      </c>
      <c r="E1822" s="514">
        <v>0</v>
      </c>
      <c r="F1822" s="514">
        <v>0</v>
      </c>
      <c r="G1822" s="514">
        <v>0</v>
      </c>
      <c r="H1822" s="514">
        <v>0</v>
      </c>
      <c r="I1822" s="514">
        <v>0</v>
      </c>
      <c r="J1822" s="514">
        <v>0</v>
      </c>
      <c r="K1822" s="514">
        <v>0</v>
      </c>
      <c r="L1822" s="514">
        <v>0</v>
      </c>
      <c r="M1822" s="514">
        <v>0</v>
      </c>
      <c r="N1822" s="514">
        <v>0</v>
      </c>
      <c r="O1822" s="499"/>
      <c r="P1822" s="499"/>
      <c r="Q1822" s="499"/>
    </row>
    <row r="1823" spans="1:17" ht="14.4" x14ac:dyDescent="0.3">
      <c r="A1823" s="502">
        <v>6020130</v>
      </c>
      <c r="B1823" s="503" t="s">
        <v>804</v>
      </c>
      <c r="C1823" s="514">
        <v>0</v>
      </c>
      <c r="D1823" s="514">
        <v>0</v>
      </c>
      <c r="E1823" s="514">
        <v>0</v>
      </c>
      <c r="F1823" s="514">
        <v>0</v>
      </c>
      <c r="G1823" s="514">
        <v>0</v>
      </c>
      <c r="H1823" s="514">
        <v>0</v>
      </c>
      <c r="I1823" s="514">
        <v>0</v>
      </c>
      <c r="J1823" s="514">
        <v>0</v>
      </c>
      <c r="K1823" s="514">
        <v>0</v>
      </c>
      <c r="L1823" s="514">
        <v>0</v>
      </c>
      <c r="M1823" s="514">
        <v>0</v>
      </c>
      <c r="N1823" s="514">
        <v>0</v>
      </c>
      <c r="O1823" s="499"/>
      <c r="P1823" s="499"/>
      <c r="Q1823" s="499"/>
    </row>
    <row r="1824" spans="1:17" ht="14.4" x14ac:dyDescent="0.3">
      <c r="A1824" s="502">
        <v>6020131</v>
      </c>
      <c r="B1824" s="503" t="s">
        <v>836</v>
      </c>
      <c r="C1824" s="514">
        <v>0</v>
      </c>
      <c r="D1824" s="514">
        <v>0</v>
      </c>
      <c r="E1824" s="514">
        <v>0</v>
      </c>
      <c r="F1824" s="514">
        <v>0</v>
      </c>
      <c r="G1824" s="514">
        <v>0</v>
      </c>
      <c r="H1824" s="514">
        <v>0</v>
      </c>
      <c r="I1824" s="514">
        <v>0</v>
      </c>
      <c r="J1824" s="514">
        <v>0</v>
      </c>
      <c r="K1824" s="514">
        <v>0</v>
      </c>
      <c r="L1824" s="514">
        <v>0</v>
      </c>
      <c r="M1824" s="514">
        <v>0</v>
      </c>
      <c r="N1824" s="514">
        <v>0</v>
      </c>
      <c r="O1824" s="499"/>
      <c r="P1824" s="499"/>
      <c r="Q1824" s="499"/>
    </row>
    <row r="1825" spans="1:17" ht="14.4" x14ac:dyDescent="0.3">
      <c r="A1825" s="502">
        <v>6020140</v>
      </c>
      <c r="B1825" s="503" t="s">
        <v>806</v>
      </c>
      <c r="C1825" s="514">
        <v>0</v>
      </c>
      <c r="D1825" s="514">
        <v>0</v>
      </c>
      <c r="E1825" s="514">
        <v>0</v>
      </c>
      <c r="F1825" s="514">
        <v>0</v>
      </c>
      <c r="G1825" s="514">
        <v>0</v>
      </c>
      <c r="H1825" s="514">
        <v>0</v>
      </c>
      <c r="I1825" s="514">
        <v>0</v>
      </c>
      <c r="J1825" s="514">
        <v>0</v>
      </c>
      <c r="K1825" s="514">
        <v>0</v>
      </c>
      <c r="L1825" s="514">
        <v>0</v>
      </c>
      <c r="M1825" s="514">
        <v>0</v>
      </c>
      <c r="N1825" s="514">
        <v>0</v>
      </c>
      <c r="O1825" s="499"/>
      <c r="P1825" s="499"/>
      <c r="Q1825" s="499"/>
    </row>
    <row r="1826" spans="1:17" ht="14.4" x14ac:dyDescent="0.3">
      <c r="A1826" s="502">
        <v>6020150</v>
      </c>
      <c r="B1826" s="503" t="s">
        <v>808</v>
      </c>
      <c r="C1826" s="514">
        <v>0</v>
      </c>
      <c r="D1826" s="514">
        <v>0</v>
      </c>
      <c r="E1826" s="514">
        <v>0</v>
      </c>
      <c r="F1826" s="514">
        <v>0</v>
      </c>
      <c r="G1826" s="514">
        <v>0</v>
      </c>
      <c r="H1826" s="514">
        <v>0</v>
      </c>
      <c r="I1826" s="514">
        <v>0</v>
      </c>
      <c r="J1826" s="514">
        <v>0</v>
      </c>
      <c r="K1826" s="514">
        <v>0</v>
      </c>
      <c r="L1826" s="514">
        <v>0</v>
      </c>
      <c r="M1826" s="514">
        <v>0</v>
      </c>
      <c r="N1826" s="514">
        <v>0</v>
      </c>
      <c r="O1826" s="499"/>
      <c r="P1826" s="499"/>
      <c r="Q1826" s="499"/>
    </row>
    <row r="1827" spans="1:17" ht="14.4" x14ac:dyDescent="0.3">
      <c r="A1827" s="502">
        <v>6020160</v>
      </c>
      <c r="B1827" s="503" t="s">
        <v>3416</v>
      </c>
      <c r="C1827" s="514">
        <v>0</v>
      </c>
      <c r="D1827" s="514">
        <v>0</v>
      </c>
      <c r="E1827" s="514">
        <v>0</v>
      </c>
      <c r="F1827" s="514">
        <v>0</v>
      </c>
      <c r="G1827" s="514">
        <v>0</v>
      </c>
      <c r="H1827" s="514">
        <v>0</v>
      </c>
      <c r="I1827" s="514">
        <v>0</v>
      </c>
      <c r="J1827" s="514">
        <v>0</v>
      </c>
      <c r="K1827" s="514">
        <v>0</v>
      </c>
      <c r="L1827" s="514">
        <v>0</v>
      </c>
      <c r="M1827" s="514">
        <v>0</v>
      </c>
      <c r="N1827" s="514">
        <v>0</v>
      </c>
      <c r="O1827" s="499"/>
      <c r="P1827" s="499"/>
      <c r="Q1827" s="499"/>
    </row>
    <row r="1828" spans="1:17" ht="14.4" x14ac:dyDescent="0.3">
      <c r="A1828" s="502">
        <v>6020170</v>
      </c>
      <c r="B1828" s="503" t="s">
        <v>810</v>
      </c>
      <c r="C1828" s="514">
        <v>0</v>
      </c>
      <c r="D1828" s="514">
        <v>0</v>
      </c>
      <c r="E1828" s="514">
        <v>0</v>
      </c>
      <c r="F1828" s="514">
        <v>0</v>
      </c>
      <c r="G1828" s="514">
        <v>0</v>
      </c>
      <c r="H1828" s="514">
        <v>0</v>
      </c>
      <c r="I1828" s="514">
        <v>0</v>
      </c>
      <c r="J1828" s="514">
        <v>0</v>
      </c>
      <c r="K1828" s="514">
        <v>0</v>
      </c>
      <c r="L1828" s="514">
        <v>0</v>
      </c>
      <c r="M1828" s="514">
        <v>0</v>
      </c>
      <c r="N1828" s="514">
        <v>0</v>
      </c>
      <c r="O1828" s="499"/>
      <c r="P1828" s="499"/>
      <c r="Q1828" s="499"/>
    </row>
    <row r="1829" spans="1:17" ht="14.4" x14ac:dyDescent="0.3">
      <c r="A1829" s="502">
        <v>6020180</v>
      </c>
      <c r="B1829" s="503" t="s">
        <v>812</v>
      </c>
      <c r="C1829" s="514">
        <v>0</v>
      </c>
      <c r="D1829" s="514">
        <v>0</v>
      </c>
      <c r="E1829" s="514">
        <v>0</v>
      </c>
      <c r="F1829" s="514">
        <v>0</v>
      </c>
      <c r="G1829" s="514">
        <v>0</v>
      </c>
      <c r="H1829" s="514">
        <v>0</v>
      </c>
      <c r="I1829" s="514">
        <v>0</v>
      </c>
      <c r="J1829" s="514">
        <v>0</v>
      </c>
      <c r="K1829" s="514">
        <v>0</v>
      </c>
      <c r="L1829" s="514">
        <v>0</v>
      </c>
      <c r="M1829" s="514">
        <v>0</v>
      </c>
      <c r="N1829" s="514">
        <v>0</v>
      </c>
      <c r="O1829" s="499"/>
      <c r="P1829" s="499"/>
      <c r="Q1829" s="499"/>
    </row>
    <row r="1830" spans="1:17" ht="14.4" x14ac:dyDescent="0.3">
      <c r="A1830" s="502">
        <v>6020190</v>
      </c>
      <c r="B1830" s="503" t="s">
        <v>3417</v>
      </c>
      <c r="C1830" s="514">
        <v>0</v>
      </c>
      <c r="D1830" s="514">
        <v>0</v>
      </c>
      <c r="E1830" s="514">
        <v>0</v>
      </c>
      <c r="F1830" s="514">
        <v>0</v>
      </c>
      <c r="G1830" s="514">
        <v>0</v>
      </c>
      <c r="H1830" s="514">
        <v>0</v>
      </c>
      <c r="I1830" s="514">
        <v>0</v>
      </c>
      <c r="J1830" s="514">
        <v>0</v>
      </c>
      <c r="K1830" s="514">
        <v>0</v>
      </c>
      <c r="L1830" s="514">
        <v>0</v>
      </c>
      <c r="M1830" s="514">
        <v>0</v>
      </c>
      <c r="N1830" s="514">
        <v>0</v>
      </c>
      <c r="O1830" s="499"/>
      <c r="P1830" s="499"/>
      <c r="Q1830" s="499"/>
    </row>
    <row r="1831" spans="1:17" ht="14.4" x14ac:dyDescent="0.3">
      <c r="A1831" s="502">
        <v>6020200</v>
      </c>
      <c r="B1831" s="503" t="s">
        <v>3418</v>
      </c>
      <c r="C1831" s="514">
        <v>0</v>
      </c>
      <c r="D1831" s="514">
        <v>0</v>
      </c>
      <c r="E1831" s="514">
        <v>0</v>
      </c>
      <c r="F1831" s="514">
        <v>0</v>
      </c>
      <c r="G1831" s="514">
        <v>0</v>
      </c>
      <c r="H1831" s="514">
        <v>0</v>
      </c>
      <c r="I1831" s="514">
        <v>0</v>
      </c>
      <c r="J1831" s="514">
        <v>0</v>
      </c>
      <c r="K1831" s="514">
        <v>0</v>
      </c>
      <c r="L1831" s="514">
        <v>0</v>
      </c>
      <c r="M1831" s="514">
        <v>0</v>
      </c>
      <c r="N1831" s="514">
        <v>0</v>
      </c>
      <c r="O1831" s="499"/>
      <c r="P1831" s="499"/>
      <c r="Q1831" s="499"/>
    </row>
    <row r="1832" spans="1:17" ht="14.4" x14ac:dyDescent="0.3">
      <c r="A1832" s="502">
        <v>6020210</v>
      </c>
      <c r="B1832" s="503" t="s">
        <v>3419</v>
      </c>
      <c r="C1832" s="514">
        <v>0</v>
      </c>
      <c r="D1832" s="514">
        <v>0</v>
      </c>
      <c r="E1832" s="514">
        <v>0</v>
      </c>
      <c r="F1832" s="514">
        <v>0</v>
      </c>
      <c r="G1832" s="514">
        <v>0</v>
      </c>
      <c r="H1832" s="514">
        <v>0</v>
      </c>
      <c r="I1832" s="514">
        <v>0</v>
      </c>
      <c r="J1832" s="514">
        <v>0</v>
      </c>
      <c r="K1832" s="514">
        <v>0</v>
      </c>
      <c r="L1832" s="514">
        <v>0</v>
      </c>
      <c r="M1832" s="514">
        <v>0</v>
      </c>
      <c r="N1832" s="514">
        <v>0</v>
      </c>
      <c r="O1832" s="499"/>
      <c r="P1832" s="499"/>
      <c r="Q1832" s="499"/>
    </row>
    <row r="1833" spans="1:17" ht="14.4" x14ac:dyDescent="0.3">
      <c r="A1833" s="502">
        <v>6020220</v>
      </c>
      <c r="B1833" s="503" t="s">
        <v>814</v>
      </c>
      <c r="C1833" s="514">
        <v>0</v>
      </c>
      <c r="D1833" s="514">
        <v>0</v>
      </c>
      <c r="E1833" s="514">
        <v>0</v>
      </c>
      <c r="F1833" s="514">
        <v>0</v>
      </c>
      <c r="G1833" s="514">
        <v>0</v>
      </c>
      <c r="H1833" s="514">
        <v>0</v>
      </c>
      <c r="I1833" s="514">
        <v>0</v>
      </c>
      <c r="J1833" s="514">
        <v>0</v>
      </c>
      <c r="K1833" s="514">
        <v>0</v>
      </c>
      <c r="L1833" s="514">
        <v>0</v>
      </c>
      <c r="M1833" s="514">
        <v>0</v>
      </c>
      <c r="N1833" s="514">
        <v>0</v>
      </c>
      <c r="O1833" s="499"/>
      <c r="P1833" s="499"/>
      <c r="Q1833" s="499"/>
    </row>
    <row r="1834" spans="1:17" ht="14.4" x14ac:dyDescent="0.3">
      <c r="A1834" s="502">
        <v>6020230</v>
      </c>
      <c r="B1834" s="503" t="s">
        <v>816</v>
      </c>
      <c r="C1834" s="514">
        <v>0</v>
      </c>
      <c r="D1834" s="514">
        <v>0</v>
      </c>
      <c r="E1834" s="514">
        <v>0</v>
      </c>
      <c r="F1834" s="514">
        <v>0</v>
      </c>
      <c r="G1834" s="514">
        <v>0</v>
      </c>
      <c r="H1834" s="514">
        <v>0</v>
      </c>
      <c r="I1834" s="514">
        <v>0</v>
      </c>
      <c r="J1834" s="514">
        <v>0</v>
      </c>
      <c r="K1834" s="514">
        <v>0</v>
      </c>
      <c r="L1834" s="514">
        <v>0</v>
      </c>
      <c r="M1834" s="514">
        <v>0</v>
      </c>
      <c r="N1834" s="514">
        <v>0</v>
      </c>
      <c r="O1834" s="499"/>
      <c r="P1834" s="499"/>
      <c r="Q1834" s="499"/>
    </row>
    <row r="1835" spans="1:17" ht="14.4" x14ac:dyDescent="0.3">
      <c r="A1835" s="502">
        <v>6020240</v>
      </c>
      <c r="B1835" s="503" t="s">
        <v>818</v>
      </c>
      <c r="C1835" s="514">
        <v>0</v>
      </c>
      <c r="D1835" s="514">
        <v>0</v>
      </c>
      <c r="E1835" s="514">
        <v>0</v>
      </c>
      <c r="F1835" s="514">
        <v>0</v>
      </c>
      <c r="G1835" s="514">
        <v>0</v>
      </c>
      <c r="H1835" s="514">
        <v>0</v>
      </c>
      <c r="I1835" s="514">
        <v>0</v>
      </c>
      <c r="J1835" s="514">
        <v>0</v>
      </c>
      <c r="K1835" s="514">
        <v>0</v>
      </c>
      <c r="L1835" s="514">
        <v>0</v>
      </c>
      <c r="M1835" s="514">
        <v>0</v>
      </c>
      <c r="N1835" s="514">
        <v>0</v>
      </c>
      <c r="O1835" s="499"/>
      <c r="P1835" s="499"/>
      <c r="Q1835" s="499"/>
    </row>
    <row r="1836" spans="1:17" ht="14.4" x14ac:dyDescent="0.3">
      <c r="A1836" s="502">
        <v>6020800</v>
      </c>
      <c r="B1836" s="503" t="s">
        <v>820</v>
      </c>
      <c r="C1836" s="514">
        <v>0</v>
      </c>
      <c r="D1836" s="514">
        <v>0</v>
      </c>
      <c r="E1836" s="514">
        <v>0</v>
      </c>
      <c r="F1836" s="514">
        <v>0</v>
      </c>
      <c r="G1836" s="514">
        <v>0</v>
      </c>
      <c r="H1836" s="514">
        <v>0</v>
      </c>
      <c r="I1836" s="514">
        <v>0</v>
      </c>
      <c r="J1836" s="514">
        <v>0</v>
      </c>
      <c r="K1836" s="514">
        <v>0</v>
      </c>
      <c r="L1836" s="514">
        <v>0</v>
      </c>
      <c r="M1836" s="514">
        <v>0</v>
      </c>
      <c r="N1836" s="514">
        <v>0</v>
      </c>
      <c r="O1836" s="499"/>
      <c r="P1836" s="499"/>
      <c r="Q1836" s="499"/>
    </row>
    <row r="1837" spans="1:17" ht="14.4" x14ac:dyDescent="0.3">
      <c r="A1837" s="502">
        <v>6020900</v>
      </c>
      <c r="B1837" s="503" t="s">
        <v>822</v>
      </c>
      <c r="C1837" s="514">
        <v>0</v>
      </c>
      <c r="D1837" s="514">
        <v>0</v>
      </c>
      <c r="E1837" s="514">
        <v>0</v>
      </c>
      <c r="F1837" s="514">
        <v>0</v>
      </c>
      <c r="G1837" s="514">
        <v>0</v>
      </c>
      <c r="H1837" s="514">
        <v>0</v>
      </c>
      <c r="I1837" s="514">
        <v>0</v>
      </c>
      <c r="J1837" s="514">
        <v>0</v>
      </c>
      <c r="K1837" s="514">
        <v>0</v>
      </c>
      <c r="L1837" s="514">
        <v>0</v>
      </c>
      <c r="M1837" s="514">
        <v>0</v>
      </c>
      <c r="N1837" s="514">
        <v>0</v>
      </c>
      <c r="O1837" s="499"/>
      <c r="P1837" s="499"/>
      <c r="Q1837" s="499"/>
    </row>
    <row r="1838" spans="1:17" ht="14.4" x14ac:dyDescent="0.3">
      <c r="A1838" s="502">
        <v>6020910</v>
      </c>
      <c r="B1838" s="503" t="s">
        <v>3420</v>
      </c>
      <c r="C1838" s="514">
        <v>0</v>
      </c>
      <c r="D1838" s="514">
        <v>0</v>
      </c>
      <c r="E1838" s="514">
        <v>0</v>
      </c>
      <c r="F1838" s="514">
        <v>0</v>
      </c>
      <c r="G1838" s="514">
        <v>0</v>
      </c>
      <c r="H1838" s="514">
        <v>0</v>
      </c>
      <c r="I1838" s="514">
        <v>0</v>
      </c>
      <c r="J1838" s="514">
        <v>0</v>
      </c>
      <c r="K1838" s="514">
        <v>0</v>
      </c>
      <c r="L1838" s="514">
        <v>0</v>
      </c>
      <c r="M1838" s="514">
        <v>0</v>
      </c>
      <c r="N1838" s="514">
        <v>0</v>
      </c>
      <c r="O1838" s="499"/>
      <c r="P1838" s="499"/>
      <c r="Q1838" s="499"/>
    </row>
    <row r="1839" spans="1:17" ht="14.4" x14ac:dyDescent="0.3">
      <c r="A1839" s="502">
        <v>6020920</v>
      </c>
      <c r="B1839" s="503" t="s">
        <v>824</v>
      </c>
      <c r="C1839" s="514">
        <v>0</v>
      </c>
      <c r="D1839" s="514">
        <v>0</v>
      </c>
      <c r="E1839" s="514">
        <v>0</v>
      </c>
      <c r="F1839" s="514">
        <v>0</v>
      </c>
      <c r="G1839" s="514">
        <v>0</v>
      </c>
      <c r="H1839" s="514">
        <v>0</v>
      </c>
      <c r="I1839" s="514">
        <v>0</v>
      </c>
      <c r="J1839" s="514">
        <v>0</v>
      </c>
      <c r="K1839" s="514">
        <v>0</v>
      </c>
      <c r="L1839" s="514">
        <v>0</v>
      </c>
      <c r="M1839" s="514">
        <v>0</v>
      </c>
      <c r="N1839" s="514">
        <v>0</v>
      </c>
      <c r="O1839" s="499"/>
      <c r="P1839" s="499"/>
      <c r="Q1839" s="499"/>
    </row>
    <row r="1840" spans="1:17" ht="14.4" x14ac:dyDescent="0.3">
      <c r="A1840" s="502">
        <v>6028999</v>
      </c>
      <c r="B1840" s="503" t="s">
        <v>826</v>
      </c>
      <c r="C1840" s="514">
        <v>39592.26</v>
      </c>
      <c r="D1840" s="514">
        <v>40491.410000000003</v>
      </c>
      <c r="E1840" s="514">
        <v>40491.410000000003</v>
      </c>
      <c r="F1840" s="514">
        <v>40041.839999999997</v>
      </c>
      <c r="G1840" s="514">
        <v>39592.26</v>
      </c>
      <c r="H1840" s="514">
        <v>40940.99</v>
      </c>
      <c r="I1840" s="514">
        <v>39592.26</v>
      </c>
      <c r="J1840" s="514">
        <v>40041.839999999997</v>
      </c>
      <c r="K1840" s="514">
        <v>40491.410000000003</v>
      </c>
      <c r="L1840" s="514">
        <v>39592.26</v>
      </c>
      <c r="M1840" s="514">
        <v>40491.410000000003</v>
      </c>
      <c r="N1840" s="514">
        <v>40041.839999999997</v>
      </c>
      <c r="O1840" s="499"/>
      <c r="P1840" s="499"/>
      <c r="Q1840" s="499"/>
    </row>
    <row r="1841" spans="1:17" ht="14.4" x14ac:dyDescent="0.3">
      <c r="A1841" s="502">
        <v>6029000</v>
      </c>
      <c r="B1841" s="503" t="s">
        <v>828</v>
      </c>
      <c r="C1841" s="514">
        <v>0</v>
      </c>
      <c r="D1841" s="514">
        <v>0</v>
      </c>
      <c r="E1841" s="514">
        <v>0</v>
      </c>
      <c r="F1841" s="514">
        <v>0</v>
      </c>
      <c r="G1841" s="514">
        <v>0</v>
      </c>
      <c r="H1841" s="514">
        <v>0</v>
      </c>
      <c r="I1841" s="514">
        <v>0</v>
      </c>
      <c r="J1841" s="514">
        <v>0</v>
      </c>
      <c r="K1841" s="514">
        <v>0</v>
      </c>
      <c r="L1841" s="514">
        <v>0</v>
      </c>
      <c r="M1841" s="514">
        <v>0</v>
      </c>
      <c r="N1841" s="514">
        <v>0</v>
      </c>
      <c r="O1841" s="499"/>
      <c r="P1841" s="499"/>
      <c r="Q1841" s="499"/>
    </row>
    <row r="1842" spans="1:17" ht="14.4" x14ac:dyDescent="0.3">
      <c r="A1842" s="502">
        <v>6030010</v>
      </c>
      <c r="B1842" s="503" t="s">
        <v>882</v>
      </c>
      <c r="C1842" s="514">
        <v>0</v>
      </c>
      <c r="D1842" s="514">
        <v>0</v>
      </c>
      <c r="E1842" s="514">
        <v>0</v>
      </c>
      <c r="F1842" s="514">
        <v>0</v>
      </c>
      <c r="G1842" s="514">
        <v>0</v>
      </c>
      <c r="H1842" s="514">
        <v>0</v>
      </c>
      <c r="I1842" s="514">
        <v>0</v>
      </c>
      <c r="J1842" s="514">
        <v>0</v>
      </c>
      <c r="K1842" s="514">
        <v>0</v>
      </c>
      <c r="L1842" s="514">
        <v>0</v>
      </c>
      <c r="M1842" s="514">
        <v>0</v>
      </c>
      <c r="N1842" s="514">
        <v>0</v>
      </c>
      <c r="O1842" s="499"/>
      <c r="P1842" s="499"/>
      <c r="Q1842" s="499"/>
    </row>
    <row r="1843" spans="1:17" ht="14.4" x14ac:dyDescent="0.3">
      <c r="A1843" s="502">
        <v>6030020</v>
      </c>
      <c r="B1843" s="503" t="s">
        <v>884</v>
      </c>
      <c r="C1843" s="514">
        <v>0</v>
      </c>
      <c r="D1843" s="514">
        <v>0</v>
      </c>
      <c r="E1843" s="514">
        <v>0</v>
      </c>
      <c r="F1843" s="514">
        <v>0</v>
      </c>
      <c r="G1843" s="514">
        <v>0</v>
      </c>
      <c r="H1843" s="514">
        <v>0</v>
      </c>
      <c r="I1843" s="514">
        <v>0</v>
      </c>
      <c r="J1843" s="514">
        <v>0</v>
      </c>
      <c r="K1843" s="514">
        <v>0</v>
      </c>
      <c r="L1843" s="514">
        <v>0</v>
      </c>
      <c r="M1843" s="514">
        <v>0</v>
      </c>
      <c r="N1843" s="514">
        <v>0</v>
      </c>
      <c r="O1843" s="499"/>
      <c r="P1843" s="499"/>
      <c r="Q1843" s="499"/>
    </row>
    <row r="1844" spans="1:17" ht="14.4" x14ac:dyDescent="0.3">
      <c r="A1844" s="502">
        <v>6030030</v>
      </c>
      <c r="B1844" s="503" t="s">
        <v>886</v>
      </c>
      <c r="C1844" s="514">
        <v>0</v>
      </c>
      <c r="D1844" s="514">
        <v>0</v>
      </c>
      <c r="E1844" s="514">
        <v>0</v>
      </c>
      <c r="F1844" s="514">
        <v>0</v>
      </c>
      <c r="G1844" s="514">
        <v>0</v>
      </c>
      <c r="H1844" s="514">
        <v>0</v>
      </c>
      <c r="I1844" s="514">
        <v>0</v>
      </c>
      <c r="J1844" s="514">
        <v>0</v>
      </c>
      <c r="K1844" s="514">
        <v>0</v>
      </c>
      <c r="L1844" s="514">
        <v>0</v>
      </c>
      <c r="M1844" s="514">
        <v>0</v>
      </c>
      <c r="N1844" s="514">
        <v>0</v>
      </c>
      <c r="O1844" s="499"/>
      <c r="P1844" s="499"/>
      <c r="Q1844" s="499"/>
    </row>
    <row r="1845" spans="1:17" ht="14.4" x14ac:dyDescent="0.3">
      <c r="A1845" s="502">
        <v>6030040</v>
      </c>
      <c r="B1845" s="503" t="s">
        <v>888</v>
      </c>
      <c r="C1845" s="514">
        <v>483</v>
      </c>
      <c r="D1845" s="514">
        <v>483</v>
      </c>
      <c r="E1845" s="514">
        <v>484</v>
      </c>
      <c r="F1845" s="514">
        <v>483</v>
      </c>
      <c r="G1845" s="514">
        <v>483</v>
      </c>
      <c r="H1845" s="514">
        <v>484</v>
      </c>
      <c r="I1845" s="514">
        <v>483</v>
      </c>
      <c r="J1845" s="514">
        <v>483</v>
      </c>
      <c r="K1845" s="514">
        <v>484</v>
      </c>
      <c r="L1845" s="514">
        <v>483</v>
      </c>
      <c r="M1845" s="514">
        <v>483</v>
      </c>
      <c r="N1845" s="514">
        <v>484</v>
      </c>
      <c r="O1845" s="499"/>
      <c r="P1845" s="499"/>
      <c r="Q1845" s="499"/>
    </row>
    <row r="1846" spans="1:17" ht="14.4" x14ac:dyDescent="0.3">
      <c r="A1846" s="502">
        <v>6030050</v>
      </c>
      <c r="B1846" s="503" t="s">
        <v>890</v>
      </c>
      <c r="C1846" s="514">
        <v>517</v>
      </c>
      <c r="D1846" s="514">
        <v>549</v>
      </c>
      <c r="E1846" s="514">
        <v>491</v>
      </c>
      <c r="F1846" s="514">
        <v>442</v>
      </c>
      <c r="G1846" s="514">
        <v>901</v>
      </c>
      <c r="H1846" s="514">
        <v>441</v>
      </c>
      <c r="I1846" s="514">
        <v>442</v>
      </c>
      <c r="J1846" s="514">
        <v>455</v>
      </c>
      <c r="K1846" s="514">
        <v>499</v>
      </c>
      <c r="L1846" s="514">
        <v>522</v>
      </c>
      <c r="M1846" s="514">
        <v>458</v>
      </c>
      <c r="N1846" s="514">
        <v>469</v>
      </c>
      <c r="O1846" s="499"/>
      <c r="P1846" s="499"/>
      <c r="Q1846" s="499"/>
    </row>
    <row r="1847" spans="1:17" ht="14.4" x14ac:dyDescent="0.3">
      <c r="A1847" s="502">
        <v>6030060</v>
      </c>
      <c r="B1847" s="503" t="s">
        <v>892</v>
      </c>
      <c r="C1847" s="514">
        <v>0</v>
      </c>
      <c r="D1847" s="514">
        <v>0</v>
      </c>
      <c r="E1847" s="514">
        <v>0</v>
      </c>
      <c r="F1847" s="514">
        <v>0</v>
      </c>
      <c r="G1847" s="514">
        <v>0</v>
      </c>
      <c r="H1847" s="514">
        <v>0</v>
      </c>
      <c r="I1847" s="514">
        <v>0</v>
      </c>
      <c r="J1847" s="514">
        <v>0</v>
      </c>
      <c r="K1847" s="514">
        <v>0</v>
      </c>
      <c r="L1847" s="514">
        <v>0</v>
      </c>
      <c r="M1847" s="514">
        <v>0</v>
      </c>
      <c r="N1847" s="514">
        <v>0</v>
      </c>
      <c r="O1847" s="499"/>
      <c r="P1847" s="499"/>
      <c r="Q1847" s="499"/>
    </row>
    <row r="1848" spans="1:17" ht="14.4" x14ac:dyDescent="0.3">
      <c r="A1848" s="502">
        <v>6030070</v>
      </c>
      <c r="B1848" s="503" t="s">
        <v>894</v>
      </c>
      <c r="C1848" s="514">
        <v>1375</v>
      </c>
      <c r="D1848" s="514">
        <v>1375</v>
      </c>
      <c r="E1848" s="514">
        <v>1375</v>
      </c>
      <c r="F1848" s="514">
        <v>1375</v>
      </c>
      <c r="G1848" s="514">
        <v>1375</v>
      </c>
      <c r="H1848" s="514">
        <v>1375</v>
      </c>
      <c r="I1848" s="514">
        <v>1375</v>
      </c>
      <c r="J1848" s="514">
        <v>1375</v>
      </c>
      <c r="K1848" s="514">
        <v>1375</v>
      </c>
      <c r="L1848" s="514">
        <v>1375</v>
      </c>
      <c r="M1848" s="514">
        <v>1375</v>
      </c>
      <c r="N1848" s="514">
        <v>1375</v>
      </c>
      <c r="O1848" s="499"/>
      <c r="P1848" s="499"/>
      <c r="Q1848" s="499"/>
    </row>
    <row r="1849" spans="1:17" ht="14.4" x14ac:dyDescent="0.3">
      <c r="A1849" s="502">
        <v>6030080</v>
      </c>
      <c r="B1849" s="503" t="s">
        <v>896</v>
      </c>
      <c r="C1849" s="514">
        <v>6365.25</v>
      </c>
      <c r="D1849" s="514">
        <v>17523.84</v>
      </c>
      <c r="E1849" s="514">
        <v>15816.09</v>
      </c>
      <c r="F1849" s="514">
        <v>22527.42</v>
      </c>
      <c r="G1849" s="514">
        <v>13705.92</v>
      </c>
      <c r="H1849" s="514">
        <v>34198.129999999997</v>
      </c>
      <c r="I1849" s="514">
        <v>16520.11</v>
      </c>
      <c r="J1849" s="514">
        <v>8777.56</v>
      </c>
      <c r="K1849" s="514">
        <v>10414.69</v>
      </c>
      <c r="L1849" s="514">
        <v>21880.55</v>
      </c>
      <c r="M1849" s="514">
        <v>9467.56</v>
      </c>
      <c r="N1849" s="514">
        <v>23035.22</v>
      </c>
      <c r="O1849" s="499"/>
      <c r="P1849" s="499"/>
      <c r="Q1849" s="499"/>
    </row>
    <row r="1850" spans="1:17" ht="14.4" x14ac:dyDescent="0.3">
      <c r="A1850" s="502">
        <v>6030090</v>
      </c>
      <c r="B1850" s="503" t="s">
        <v>3421</v>
      </c>
      <c r="C1850" s="514">
        <v>0</v>
      </c>
      <c r="D1850" s="514">
        <v>0</v>
      </c>
      <c r="E1850" s="514">
        <v>0</v>
      </c>
      <c r="F1850" s="514">
        <v>0</v>
      </c>
      <c r="G1850" s="514">
        <v>0</v>
      </c>
      <c r="H1850" s="514">
        <v>0</v>
      </c>
      <c r="I1850" s="514">
        <v>0</v>
      </c>
      <c r="J1850" s="514">
        <v>0</v>
      </c>
      <c r="K1850" s="514">
        <v>0</v>
      </c>
      <c r="L1850" s="514">
        <v>0</v>
      </c>
      <c r="M1850" s="514">
        <v>0</v>
      </c>
      <c r="N1850" s="514">
        <v>0</v>
      </c>
      <c r="O1850" s="499"/>
      <c r="P1850" s="499"/>
      <c r="Q1850" s="499"/>
    </row>
    <row r="1851" spans="1:17" ht="14.4" x14ac:dyDescent="0.3">
      <c r="A1851" s="502">
        <v>6030091</v>
      </c>
      <c r="B1851" s="503" t="s">
        <v>904</v>
      </c>
      <c r="C1851" s="514">
        <v>717</v>
      </c>
      <c r="D1851" s="514">
        <v>717</v>
      </c>
      <c r="E1851" s="514">
        <v>717</v>
      </c>
      <c r="F1851" s="514">
        <v>717</v>
      </c>
      <c r="G1851" s="514">
        <v>717</v>
      </c>
      <c r="H1851" s="514">
        <v>717</v>
      </c>
      <c r="I1851" s="514">
        <v>717</v>
      </c>
      <c r="J1851" s="514">
        <v>717</v>
      </c>
      <c r="K1851" s="514">
        <v>717</v>
      </c>
      <c r="L1851" s="514">
        <v>717</v>
      </c>
      <c r="M1851" s="514">
        <v>717</v>
      </c>
      <c r="N1851" s="514">
        <v>1417</v>
      </c>
      <c r="O1851" s="499"/>
      <c r="P1851" s="499"/>
      <c r="Q1851" s="499"/>
    </row>
    <row r="1852" spans="1:17" ht="14.4" x14ac:dyDescent="0.3">
      <c r="A1852" s="502">
        <v>6030800</v>
      </c>
      <c r="B1852" s="503" t="s">
        <v>898</v>
      </c>
      <c r="C1852" s="514">
        <v>21154.69</v>
      </c>
      <c r="D1852" s="514">
        <v>19621.669999999998</v>
      </c>
      <c r="E1852" s="514">
        <v>19621.669999999998</v>
      </c>
      <c r="F1852" s="514">
        <v>20388.18</v>
      </c>
      <c r="G1852" s="514">
        <v>21154.69</v>
      </c>
      <c r="H1852" s="514">
        <v>19017.13</v>
      </c>
      <c r="I1852" s="514">
        <v>21340.95</v>
      </c>
      <c r="J1852" s="514">
        <v>20566.34</v>
      </c>
      <c r="K1852" s="514">
        <v>26791.74</v>
      </c>
      <c r="L1852" s="514">
        <v>21340.95</v>
      </c>
      <c r="M1852" s="514">
        <v>19791.740000000002</v>
      </c>
      <c r="N1852" s="514">
        <v>20566.34</v>
      </c>
      <c r="O1852" s="499"/>
      <c r="P1852" s="499"/>
      <c r="Q1852" s="499"/>
    </row>
    <row r="1853" spans="1:17" ht="14.4" x14ac:dyDescent="0.3">
      <c r="A1853" s="502">
        <v>6038999</v>
      </c>
      <c r="B1853" s="503" t="s">
        <v>3422</v>
      </c>
      <c r="C1853" s="514">
        <v>0</v>
      </c>
      <c r="D1853" s="514">
        <v>0</v>
      </c>
      <c r="E1853" s="514">
        <v>0</v>
      </c>
      <c r="F1853" s="514">
        <v>0</v>
      </c>
      <c r="G1853" s="514">
        <v>0</v>
      </c>
      <c r="H1853" s="514">
        <v>0</v>
      </c>
      <c r="I1853" s="514">
        <v>0</v>
      </c>
      <c r="J1853" s="514">
        <v>0</v>
      </c>
      <c r="K1853" s="514">
        <v>0</v>
      </c>
      <c r="L1853" s="514">
        <v>0</v>
      </c>
      <c r="M1853" s="514">
        <v>0</v>
      </c>
      <c r="N1853" s="514">
        <v>0</v>
      </c>
      <c r="O1853" s="499"/>
      <c r="P1853" s="499"/>
      <c r="Q1853" s="499"/>
    </row>
    <row r="1854" spans="1:17" ht="14.4" x14ac:dyDescent="0.3">
      <c r="A1854" s="502">
        <v>6039000</v>
      </c>
      <c r="B1854" s="503" t="s">
        <v>900</v>
      </c>
      <c r="C1854" s="514">
        <v>0</v>
      </c>
      <c r="D1854" s="514">
        <v>0</v>
      </c>
      <c r="E1854" s="514">
        <v>0</v>
      </c>
      <c r="F1854" s="514">
        <v>0</v>
      </c>
      <c r="G1854" s="514">
        <v>0</v>
      </c>
      <c r="H1854" s="514">
        <v>0</v>
      </c>
      <c r="I1854" s="514">
        <v>0</v>
      </c>
      <c r="J1854" s="514">
        <v>0</v>
      </c>
      <c r="K1854" s="514">
        <v>0</v>
      </c>
      <c r="L1854" s="514">
        <v>0</v>
      </c>
      <c r="M1854" s="514">
        <v>0</v>
      </c>
      <c r="N1854" s="514">
        <v>0</v>
      </c>
      <c r="O1854" s="499"/>
      <c r="P1854" s="499"/>
      <c r="Q1854" s="499"/>
    </row>
    <row r="1855" spans="1:17" ht="14.4" x14ac:dyDescent="0.3">
      <c r="A1855" s="502">
        <v>6100010</v>
      </c>
      <c r="B1855" s="503" t="s">
        <v>1122</v>
      </c>
      <c r="C1855" s="514">
        <v>0</v>
      </c>
      <c r="D1855" s="514">
        <v>0</v>
      </c>
      <c r="E1855" s="514">
        <v>0</v>
      </c>
      <c r="F1855" s="514">
        <v>0</v>
      </c>
      <c r="G1855" s="514">
        <v>0</v>
      </c>
      <c r="H1855" s="514">
        <v>0</v>
      </c>
      <c r="I1855" s="514">
        <v>0</v>
      </c>
      <c r="J1855" s="514">
        <v>0</v>
      </c>
      <c r="K1855" s="514">
        <v>0</v>
      </c>
      <c r="L1855" s="514">
        <v>0</v>
      </c>
      <c r="M1855" s="514">
        <v>0</v>
      </c>
      <c r="N1855" s="514">
        <v>0</v>
      </c>
      <c r="O1855" s="499"/>
      <c r="P1855" s="499"/>
      <c r="Q1855" s="499"/>
    </row>
    <row r="1856" spans="1:17" ht="14.4" x14ac:dyDescent="0.3">
      <c r="A1856" s="502">
        <v>6100020</v>
      </c>
      <c r="B1856" s="503" t="s">
        <v>3423</v>
      </c>
      <c r="C1856" s="514">
        <v>0</v>
      </c>
      <c r="D1856" s="514">
        <v>0</v>
      </c>
      <c r="E1856" s="514">
        <v>0</v>
      </c>
      <c r="F1856" s="514">
        <v>0</v>
      </c>
      <c r="G1856" s="514">
        <v>0</v>
      </c>
      <c r="H1856" s="514">
        <v>0</v>
      </c>
      <c r="I1856" s="514">
        <v>0</v>
      </c>
      <c r="J1856" s="514">
        <v>0</v>
      </c>
      <c r="K1856" s="514">
        <v>0</v>
      </c>
      <c r="L1856" s="514">
        <v>0</v>
      </c>
      <c r="M1856" s="514">
        <v>0</v>
      </c>
      <c r="N1856" s="514">
        <v>0</v>
      </c>
      <c r="O1856" s="499"/>
      <c r="P1856" s="499"/>
      <c r="Q1856" s="499"/>
    </row>
    <row r="1857" spans="1:17" ht="14.4" x14ac:dyDescent="0.3">
      <c r="A1857" s="502">
        <v>6100030</v>
      </c>
      <c r="B1857" s="503" t="s">
        <v>1124</v>
      </c>
      <c r="C1857" s="514">
        <v>0</v>
      </c>
      <c r="D1857" s="514">
        <v>0</v>
      </c>
      <c r="E1857" s="514">
        <v>0</v>
      </c>
      <c r="F1857" s="514">
        <v>0</v>
      </c>
      <c r="G1857" s="514">
        <v>0</v>
      </c>
      <c r="H1857" s="514">
        <v>0</v>
      </c>
      <c r="I1857" s="514">
        <v>0</v>
      </c>
      <c r="J1857" s="514">
        <v>0</v>
      </c>
      <c r="K1857" s="514">
        <v>0</v>
      </c>
      <c r="L1857" s="514">
        <v>0</v>
      </c>
      <c r="M1857" s="514">
        <v>0</v>
      </c>
      <c r="N1857" s="514">
        <v>0</v>
      </c>
      <c r="O1857" s="499"/>
      <c r="P1857" s="499"/>
      <c r="Q1857" s="499"/>
    </row>
    <row r="1858" spans="1:17" ht="14.4" x14ac:dyDescent="0.3">
      <c r="A1858" s="502">
        <v>6100040</v>
      </c>
      <c r="B1858" s="503" t="s">
        <v>1126</v>
      </c>
      <c r="C1858" s="514">
        <v>6599.33</v>
      </c>
      <c r="D1858" s="514">
        <v>6599.33</v>
      </c>
      <c r="E1858" s="514">
        <v>6599.33</v>
      </c>
      <c r="F1858" s="514">
        <v>6599.33</v>
      </c>
      <c r="G1858" s="514">
        <v>6599.33</v>
      </c>
      <c r="H1858" s="514">
        <v>6599.33</v>
      </c>
      <c r="I1858" s="514">
        <v>6599.33</v>
      </c>
      <c r="J1858" s="514">
        <v>6599.33</v>
      </c>
      <c r="K1858" s="514">
        <v>6599.33</v>
      </c>
      <c r="L1858" s="514">
        <v>6599.33</v>
      </c>
      <c r="M1858" s="514">
        <v>6599.33</v>
      </c>
      <c r="N1858" s="514">
        <v>6599.33</v>
      </c>
      <c r="O1858" s="499"/>
      <c r="P1858" s="499"/>
      <c r="Q1858" s="499"/>
    </row>
    <row r="1859" spans="1:17" ht="14.4" x14ac:dyDescent="0.3">
      <c r="A1859" s="502">
        <v>6100050</v>
      </c>
      <c r="B1859" s="503" t="s">
        <v>1128</v>
      </c>
      <c r="C1859" s="514">
        <v>0</v>
      </c>
      <c r="D1859" s="514">
        <v>0</v>
      </c>
      <c r="E1859" s="514">
        <v>0</v>
      </c>
      <c r="F1859" s="514">
        <v>0</v>
      </c>
      <c r="G1859" s="514">
        <v>0</v>
      </c>
      <c r="H1859" s="514">
        <v>0</v>
      </c>
      <c r="I1859" s="514">
        <v>0</v>
      </c>
      <c r="J1859" s="514">
        <v>0</v>
      </c>
      <c r="K1859" s="514">
        <v>0</v>
      </c>
      <c r="L1859" s="514">
        <v>0</v>
      </c>
      <c r="M1859" s="514">
        <v>0</v>
      </c>
      <c r="N1859" s="514">
        <v>0</v>
      </c>
      <c r="O1859" s="499"/>
      <c r="P1859" s="499"/>
      <c r="Q1859" s="499"/>
    </row>
    <row r="1860" spans="1:17" ht="14.4" x14ac:dyDescent="0.3">
      <c r="A1860" s="502">
        <v>6100060</v>
      </c>
      <c r="B1860" s="503" t="s">
        <v>1130</v>
      </c>
      <c r="C1860" s="514">
        <v>0</v>
      </c>
      <c r="D1860" s="514">
        <v>0</v>
      </c>
      <c r="E1860" s="514">
        <v>0</v>
      </c>
      <c r="F1860" s="514">
        <v>0</v>
      </c>
      <c r="G1860" s="514">
        <v>0</v>
      </c>
      <c r="H1860" s="514">
        <v>0</v>
      </c>
      <c r="I1860" s="514">
        <v>0</v>
      </c>
      <c r="J1860" s="514">
        <v>0</v>
      </c>
      <c r="K1860" s="514">
        <v>0</v>
      </c>
      <c r="L1860" s="514">
        <v>0</v>
      </c>
      <c r="M1860" s="514">
        <v>0</v>
      </c>
      <c r="N1860" s="514">
        <v>0</v>
      </c>
      <c r="O1860" s="499"/>
      <c r="P1860" s="499"/>
      <c r="Q1860" s="499"/>
    </row>
    <row r="1861" spans="1:17" ht="14.4" x14ac:dyDescent="0.3">
      <c r="A1861" s="502">
        <v>6100070</v>
      </c>
      <c r="B1861" s="503" t="s">
        <v>1132</v>
      </c>
      <c r="C1861" s="514">
        <v>0</v>
      </c>
      <c r="D1861" s="514">
        <v>0</v>
      </c>
      <c r="E1861" s="514">
        <v>0</v>
      </c>
      <c r="F1861" s="514">
        <v>0</v>
      </c>
      <c r="G1861" s="514">
        <v>0</v>
      </c>
      <c r="H1861" s="514">
        <v>0</v>
      </c>
      <c r="I1861" s="514">
        <v>0</v>
      </c>
      <c r="J1861" s="514">
        <v>0</v>
      </c>
      <c r="K1861" s="514">
        <v>0</v>
      </c>
      <c r="L1861" s="514">
        <v>0</v>
      </c>
      <c r="M1861" s="514">
        <v>0</v>
      </c>
      <c r="N1861" s="514">
        <v>0</v>
      </c>
      <c r="O1861" s="499"/>
      <c r="P1861" s="499"/>
      <c r="Q1861" s="499"/>
    </row>
    <row r="1862" spans="1:17" ht="14.4" x14ac:dyDescent="0.3">
      <c r="A1862" s="502">
        <v>6100080</v>
      </c>
      <c r="B1862" s="503" t="s">
        <v>1134</v>
      </c>
      <c r="C1862" s="514">
        <v>0</v>
      </c>
      <c r="D1862" s="514">
        <v>20000</v>
      </c>
      <c r="E1862" s="514">
        <v>20000</v>
      </c>
      <c r="F1862" s="514">
        <v>20000</v>
      </c>
      <c r="G1862" s="514">
        <v>0</v>
      </c>
      <c r="H1862" s="514">
        <v>0</v>
      </c>
      <c r="I1862" s="514">
        <v>0</v>
      </c>
      <c r="J1862" s="514">
        <v>20000</v>
      </c>
      <c r="K1862" s="514">
        <v>20000</v>
      </c>
      <c r="L1862" s="514">
        <v>20000</v>
      </c>
      <c r="M1862" s="514">
        <v>0</v>
      </c>
      <c r="N1862" s="514">
        <v>0</v>
      </c>
      <c r="O1862" s="499"/>
      <c r="P1862" s="499"/>
      <c r="Q1862" s="499"/>
    </row>
    <row r="1863" spans="1:17" ht="14.4" x14ac:dyDescent="0.3">
      <c r="A1863" s="502">
        <v>6100090</v>
      </c>
      <c r="B1863" s="503" t="s">
        <v>1136</v>
      </c>
      <c r="C1863" s="514">
        <v>0</v>
      </c>
      <c r="D1863" s="514">
        <v>0</v>
      </c>
      <c r="E1863" s="514">
        <v>0</v>
      </c>
      <c r="F1863" s="514">
        <v>0</v>
      </c>
      <c r="G1863" s="514">
        <v>0</v>
      </c>
      <c r="H1863" s="514">
        <v>0</v>
      </c>
      <c r="I1863" s="514">
        <v>0</v>
      </c>
      <c r="J1863" s="514">
        <v>0</v>
      </c>
      <c r="K1863" s="514">
        <v>0</v>
      </c>
      <c r="L1863" s="514">
        <v>0</v>
      </c>
      <c r="M1863" s="514">
        <v>0</v>
      </c>
      <c r="N1863" s="514">
        <v>0</v>
      </c>
      <c r="O1863" s="499"/>
      <c r="P1863" s="499"/>
      <c r="Q1863" s="499"/>
    </row>
    <row r="1864" spans="1:17" ht="14.4" x14ac:dyDescent="0.3">
      <c r="A1864" s="502">
        <v>6100100</v>
      </c>
      <c r="B1864" s="503" t="s">
        <v>1138</v>
      </c>
      <c r="C1864" s="514">
        <v>883042.33</v>
      </c>
      <c r="D1864" s="514">
        <v>1916957.67</v>
      </c>
      <c r="E1864" s="514">
        <v>2360007.67</v>
      </c>
      <c r="F1864" s="514">
        <v>883042.33</v>
      </c>
      <c r="G1864" s="514">
        <v>883042.33</v>
      </c>
      <c r="H1864" s="514">
        <v>929992.33</v>
      </c>
      <c r="I1864" s="514">
        <v>883042.33</v>
      </c>
      <c r="J1864" s="514">
        <v>883042.33</v>
      </c>
      <c r="K1864" s="514">
        <v>941992.33</v>
      </c>
      <c r="L1864" s="514">
        <v>933042.33</v>
      </c>
      <c r="M1864" s="514">
        <v>883042.33</v>
      </c>
      <c r="N1864" s="514">
        <v>944992.33</v>
      </c>
      <c r="O1864" s="499"/>
      <c r="P1864" s="499"/>
      <c r="Q1864" s="499"/>
    </row>
    <row r="1865" spans="1:17" ht="14.4" x14ac:dyDescent="0.3">
      <c r="A1865" s="502">
        <v>6100110</v>
      </c>
      <c r="B1865" s="503" t="s">
        <v>1140</v>
      </c>
      <c r="C1865" s="514">
        <v>0</v>
      </c>
      <c r="D1865" s="514">
        <v>0</v>
      </c>
      <c r="E1865" s="514">
        <v>0</v>
      </c>
      <c r="F1865" s="514">
        <v>0</v>
      </c>
      <c r="G1865" s="514">
        <v>0</v>
      </c>
      <c r="H1865" s="514">
        <v>0</v>
      </c>
      <c r="I1865" s="514">
        <v>0</v>
      </c>
      <c r="J1865" s="514">
        <v>0</v>
      </c>
      <c r="K1865" s="514">
        <v>0</v>
      </c>
      <c r="L1865" s="514">
        <v>0</v>
      </c>
      <c r="M1865" s="514">
        <v>0</v>
      </c>
      <c r="N1865" s="514">
        <v>0</v>
      </c>
      <c r="O1865" s="499"/>
      <c r="P1865" s="499"/>
      <c r="Q1865" s="499"/>
    </row>
    <row r="1866" spans="1:17" ht="14.4" x14ac:dyDescent="0.3">
      <c r="A1866" s="502">
        <v>6100120</v>
      </c>
      <c r="B1866" s="503" t="s">
        <v>1142</v>
      </c>
      <c r="C1866" s="514">
        <v>0</v>
      </c>
      <c r="D1866" s="514">
        <v>0</v>
      </c>
      <c r="E1866" s="514">
        <v>0</v>
      </c>
      <c r="F1866" s="514">
        <v>0</v>
      </c>
      <c r="G1866" s="514">
        <v>0</v>
      </c>
      <c r="H1866" s="514">
        <v>0</v>
      </c>
      <c r="I1866" s="514">
        <v>0</v>
      </c>
      <c r="J1866" s="514">
        <v>0</v>
      </c>
      <c r="K1866" s="514">
        <v>0</v>
      </c>
      <c r="L1866" s="514">
        <v>0</v>
      </c>
      <c r="M1866" s="514">
        <v>0</v>
      </c>
      <c r="N1866" s="514">
        <v>0</v>
      </c>
      <c r="O1866" s="499"/>
      <c r="P1866" s="499"/>
      <c r="Q1866" s="499"/>
    </row>
    <row r="1867" spans="1:17" ht="14.4" x14ac:dyDescent="0.3">
      <c r="A1867" s="502">
        <v>6100130</v>
      </c>
      <c r="B1867" s="503" t="s">
        <v>3424</v>
      </c>
      <c r="C1867" s="514">
        <v>0</v>
      </c>
      <c r="D1867" s="514">
        <v>0</v>
      </c>
      <c r="E1867" s="514">
        <v>0</v>
      </c>
      <c r="F1867" s="514">
        <v>0</v>
      </c>
      <c r="G1867" s="514">
        <v>0</v>
      </c>
      <c r="H1867" s="514">
        <v>0</v>
      </c>
      <c r="I1867" s="514">
        <v>0</v>
      </c>
      <c r="J1867" s="514">
        <v>0</v>
      </c>
      <c r="K1867" s="514">
        <v>0</v>
      </c>
      <c r="L1867" s="514">
        <v>0</v>
      </c>
      <c r="M1867" s="514">
        <v>0</v>
      </c>
      <c r="N1867" s="514">
        <v>0</v>
      </c>
      <c r="O1867" s="499"/>
      <c r="P1867" s="499"/>
      <c r="Q1867" s="499"/>
    </row>
    <row r="1868" spans="1:17" ht="14.4" x14ac:dyDescent="0.3">
      <c r="A1868" s="502">
        <v>6100140</v>
      </c>
      <c r="B1868" s="503" t="s">
        <v>1144</v>
      </c>
      <c r="C1868" s="514">
        <v>0</v>
      </c>
      <c r="D1868" s="514">
        <v>0</v>
      </c>
      <c r="E1868" s="514">
        <v>0</v>
      </c>
      <c r="F1868" s="514">
        <v>0</v>
      </c>
      <c r="G1868" s="514">
        <v>0</v>
      </c>
      <c r="H1868" s="514">
        <v>0</v>
      </c>
      <c r="I1868" s="514">
        <v>0</v>
      </c>
      <c r="J1868" s="514">
        <v>0</v>
      </c>
      <c r="K1868" s="514">
        <v>0</v>
      </c>
      <c r="L1868" s="514">
        <v>0</v>
      </c>
      <c r="M1868" s="514">
        <v>0</v>
      </c>
      <c r="N1868" s="514">
        <v>0</v>
      </c>
      <c r="O1868" s="499"/>
      <c r="P1868" s="499"/>
      <c r="Q1868" s="499"/>
    </row>
    <row r="1869" spans="1:17" ht="14.4" x14ac:dyDescent="0.3">
      <c r="A1869" s="502">
        <v>6100150</v>
      </c>
      <c r="B1869" s="503" t="s">
        <v>1146</v>
      </c>
      <c r="C1869" s="514">
        <v>0</v>
      </c>
      <c r="D1869" s="514">
        <v>0</v>
      </c>
      <c r="E1869" s="514">
        <v>0</v>
      </c>
      <c r="F1869" s="514">
        <v>0</v>
      </c>
      <c r="G1869" s="514">
        <v>0</v>
      </c>
      <c r="H1869" s="514">
        <v>0</v>
      </c>
      <c r="I1869" s="514">
        <v>0</v>
      </c>
      <c r="J1869" s="514">
        <v>0</v>
      </c>
      <c r="K1869" s="514">
        <v>0</v>
      </c>
      <c r="L1869" s="514">
        <v>0</v>
      </c>
      <c r="M1869" s="514">
        <v>0</v>
      </c>
      <c r="N1869" s="514">
        <v>0</v>
      </c>
      <c r="O1869" s="499"/>
      <c r="P1869" s="499"/>
      <c r="Q1869" s="499"/>
    </row>
    <row r="1870" spans="1:17" ht="14.4" x14ac:dyDescent="0.3">
      <c r="A1870" s="502">
        <v>6100160</v>
      </c>
      <c r="B1870" s="503" t="s">
        <v>1148</v>
      </c>
      <c r="C1870" s="514">
        <v>0</v>
      </c>
      <c r="D1870" s="514">
        <v>0</v>
      </c>
      <c r="E1870" s="514">
        <v>0</v>
      </c>
      <c r="F1870" s="514">
        <v>0</v>
      </c>
      <c r="G1870" s="514">
        <v>0</v>
      </c>
      <c r="H1870" s="514">
        <v>0</v>
      </c>
      <c r="I1870" s="514">
        <v>0</v>
      </c>
      <c r="J1870" s="514">
        <v>0</v>
      </c>
      <c r="K1870" s="514">
        <v>0</v>
      </c>
      <c r="L1870" s="514">
        <v>0</v>
      </c>
      <c r="M1870" s="514">
        <v>0</v>
      </c>
      <c r="N1870" s="514">
        <v>0</v>
      </c>
      <c r="O1870" s="499"/>
      <c r="P1870" s="499"/>
      <c r="Q1870" s="499"/>
    </row>
    <row r="1871" spans="1:17" ht="14.4" x14ac:dyDescent="0.3">
      <c r="A1871" s="502">
        <v>6100170</v>
      </c>
      <c r="B1871" s="503" t="s">
        <v>1150</v>
      </c>
      <c r="C1871" s="514">
        <v>0</v>
      </c>
      <c r="D1871" s="514">
        <v>0</v>
      </c>
      <c r="E1871" s="514">
        <v>0</v>
      </c>
      <c r="F1871" s="514">
        <v>0</v>
      </c>
      <c r="G1871" s="514">
        <v>0</v>
      </c>
      <c r="H1871" s="514">
        <v>0</v>
      </c>
      <c r="I1871" s="514">
        <v>0</v>
      </c>
      <c r="J1871" s="514">
        <v>3828</v>
      </c>
      <c r="K1871" s="514">
        <v>0</v>
      </c>
      <c r="L1871" s="514">
        <v>0</v>
      </c>
      <c r="M1871" s="514">
        <v>0</v>
      </c>
      <c r="N1871" s="514">
        <v>249352</v>
      </c>
      <c r="O1871" s="499"/>
      <c r="P1871" s="499"/>
      <c r="Q1871" s="499"/>
    </row>
    <row r="1872" spans="1:17" ht="14.4" x14ac:dyDescent="0.3">
      <c r="A1872" s="502">
        <v>6100180</v>
      </c>
      <c r="B1872" s="503" t="s">
        <v>1152</v>
      </c>
      <c r="C1872" s="514">
        <v>0</v>
      </c>
      <c r="D1872" s="514">
        <v>0</v>
      </c>
      <c r="E1872" s="514">
        <v>0</v>
      </c>
      <c r="F1872" s="514">
        <v>0</v>
      </c>
      <c r="G1872" s="514">
        <v>0</v>
      </c>
      <c r="H1872" s="514">
        <v>0</v>
      </c>
      <c r="I1872" s="514">
        <v>0</v>
      </c>
      <c r="J1872" s="514">
        <v>0</v>
      </c>
      <c r="K1872" s="514">
        <v>0</v>
      </c>
      <c r="L1872" s="514">
        <v>0</v>
      </c>
      <c r="M1872" s="514">
        <v>0</v>
      </c>
      <c r="N1872" s="514">
        <v>0</v>
      </c>
      <c r="O1872" s="499"/>
      <c r="P1872" s="499"/>
      <c r="Q1872" s="499"/>
    </row>
    <row r="1873" spans="1:17" ht="14.4" x14ac:dyDescent="0.3">
      <c r="A1873" s="502">
        <v>6100190</v>
      </c>
      <c r="B1873" s="503" t="s">
        <v>1154</v>
      </c>
      <c r="C1873" s="514">
        <v>685733.95</v>
      </c>
      <c r="D1873" s="514">
        <v>472555.6</v>
      </c>
      <c r="E1873" s="514">
        <v>443827.67</v>
      </c>
      <c r="F1873" s="514">
        <v>729597.95</v>
      </c>
      <c r="G1873" s="514">
        <v>473085.35</v>
      </c>
      <c r="H1873" s="514">
        <v>486232.92</v>
      </c>
      <c r="I1873" s="514">
        <v>750612.2</v>
      </c>
      <c r="J1873" s="514">
        <v>552741.96</v>
      </c>
      <c r="K1873" s="514">
        <v>513221.95</v>
      </c>
      <c r="L1873" s="514">
        <v>698297.63</v>
      </c>
      <c r="M1873" s="514">
        <v>612300.15</v>
      </c>
      <c r="N1873" s="514">
        <v>544105.56000000006</v>
      </c>
      <c r="O1873" s="499"/>
      <c r="P1873" s="499"/>
      <c r="Q1873" s="499"/>
    </row>
    <row r="1874" spans="1:17" ht="14.4" x14ac:dyDescent="0.3">
      <c r="A1874" s="502">
        <v>6100200</v>
      </c>
      <c r="B1874" s="503" t="s">
        <v>1156</v>
      </c>
      <c r="C1874" s="514">
        <v>0</v>
      </c>
      <c r="D1874" s="514">
        <v>0</v>
      </c>
      <c r="E1874" s="514">
        <v>0</v>
      </c>
      <c r="F1874" s="514">
        <v>0</v>
      </c>
      <c r="G1874" s="514">
        <v>0</v>
      </c>
      <c r="H1874" s="514">
        <v>0</v>
      </c>
      <c r="I1874" s="514">
        <v>0</v>
      </c>
      <c r="J1874" s="514">
        <v>0</v>
      </c>
      <c r="K1874" s="514">
        <v>0</v>
      </c>
      <c r="L1874" s="514">
        <v>0</v>
      </c>
      <c r="M1874" s="514">
        <v>0</v>
      </c>
      <c r="N1874" s="514">
        <v>0</v>
      </c>
      <c r="O1874" s="499"/>
      <c r="P1874" s="499"/>
      <c r="Q1874" s="499"/>
    </row>
    <row r="1875" spans="1:17" ht="14.4" x14ac:dyDescent="0.3">
      <c r="A1875" s="502">
        <v>6108999</v>
      </c>
      <c r="B1875" s="503" t="s">
        <v>1158</v>
      </c>
      <c r="C1875" s="514">
        <v>10468.09</v>
      </c>
      <c r="D1875" s="514">
        <v>10468.09</v>
      </c>
      <c r="E1875" s="514">
        <v>10468.09</v>
      </c>
      <c r="F1875" s="514">
        <v>10468.09</v>
      </c>
      <c r="G1875" s="514">
        <v>10468.09</v>
      </c>
      <c r="H1875" s="514">
        <v>10468.09</v>
      </c>
      <c r="I1875" s="514">
        <v>10468.09</v>
      </c>
      <c r="J1875" s="514">
        <v>10468.09</v>
      </c>
      <c r="K1875" s="514">
        <v>10468.09</v>
      </c>
      <c r="L1875" s="514">
        <v>10468.09</v>
      </c>
      <c r="M1875" s="514">
        <v>10468.09</v>
      </c>
      <c r="N1875" s="514">
        <v>10468.09</v>
      </c>
      <c r="O1875" s="499"/>
      <c r="P1875" s="499"/>
      <c r="Q1875" s="499"/>
    </row>
    <row r="1876" spans="1:17" ht="14.4" x14ac:dyDescent="0.3">
      <c r="A1876" s="502">
        <v>6109000</v>
      </c>
      <c r="B1876" s="503" t="s">
        <v>1160</v>
      </c>
      <c r="C1876" s="514">
        <v>0</v>
      </c>
      <c r="D1876" s="514">
        <v>0</v>
      </c>
      <c r="E1876" s="514">
        <v>0</v>
      </c>
      <c r="F1876" s="514">
        <v>0</v>
      </c>
      <c r="G1876" s="514">
        <v>0</v>
      </c>
      <c r="H1876" s="514">
        <v>0</v>
      </c>
      <c r="I1876" s="514">
        <v>0</v>
      </c>
      <c r="J1876" s="514">
        <v>0</v>
      </c>
      <c r="K1876" s="514">
        <v>0</v>
      </c>
      <c r="L1876" s="514">
        <v>0</v>
      </c>
      <c r="M1876" s="514">
        <v>0</v>
      </c>
      <c r="N1876" s="514">
        <v>0</v>
      </c>
      <c r="O1876" s="499"/>
      <c r="P1876" s="499"/>
      <c r="Q1876" s="499"/>
    </row>
    <row r="1877" spans="1:17" ht="14.4" x14ac:dyDescent="0.3">
      <c r="A1877" s="502">
        <v>6200010</v>
      </c>
      <c r="B1877" s="503" t="s">
        <v>695</v>
      </c>
      <c r="C1877" s="514">
        <v>0</v>
      </c>
      <c r="D1877" s="514">
        <v>0</v>
      </c>
      <c r="E1877" s="514">
        <v>0</v>
      </c>
      <c r="F1877" s="514">
        <v>0</v>
      </c>
      <c r="G1877" s="514">
        <v>0</v>
      </c>
      <c r="H1877" s="514">
        <v>0</v>
      </c>
      <c r="I1877" s="514">
        <v>0</v>
      </c>
      <c r="J1877" s="514">
        <v>0</v>
      </c>
      <c r="K1877" s="514">
        <v>0</v>
      </c>
      <c r="L1877" s="514">
        <v>0</v>
      </c>
      <c r="M1877" s="514">
        <v>0</v>
      </c>
      <c r="N1877" s="514">
        <v>0</v>
      </c>
      <c r="O1877" s="499"/>
      <c r="P1877" s="499"/>
      <c r="Q1877" s="499"/>
    </row>
    <row r="1878" spans="1:17" ht="14.4" x14ac:dyDescent="0.3">
      <c r="A1878" s="502">
        <v>6200011</v>
      </c>
      <c r="B1878" s="503" t="s">
        <v>3425</v>
      </c>
      <c r="C1878" s="514">
        <v>0</v>
      </c>
      <c r="D1878" s="514">
        <v>0</v>
      </c>
      <c r="E1878" s="514">
        <v>0</v>
      </c>
      <c r="F1878" s="514">
        <v>0</v>
      </c>
      <c r="G1878" s="514">
        <v>0</v>
      </c>
      <c r="H1878" s="514">
        <v>0</v>
      </c>
      <c r="I1878" s="514">
        <v>0</v>
      </c>
      <c r="J1878" s="514">
        <v>0</v>
      </c>
      <c r="K1878" s="514">
        <v>0</v>
      </c>
      <c r="L1878" s="514">
        <v>0</v>
      </c>
      <c r="M1878" s="514">
        <v>0</v>
      </c>
      <c r="N1878" s="514">
        <v>0</v>
      </c>
      <c r="O1878" s="499"/>
      <c r="P1878" s="499"/>
      <c r="Q1878" s="499"/>
    </row>
    <row r="1879" spans="1:17" ht="14.4" x14ac:dyDescent="0.3">
      <c r="A1879" s="502">
        <v>6200015</v>
      </c>
      <c r="B1879" s="503" t="s">
        <v>3426</v>
      </c>
      <c r="C1879" s="514">
        <v>0</v>
      </c>
      <c r="D1879" s="514">
        <v>0</v>
      </c>
      <c r="E1879" s="514">
        <v>0</v>
      </c>
      <c r="F1879" s="514">
        <v>0</v>
      </c>
      <c r="G1879" s="514">
        <v>0</v>
      </c>
      <c r="H1879" s="514">
        <v>0</v>
      </c>
      <c r="I1879" s="514">
        <v>0</v>
      </c>
      <c r="J1879" s="514">
        <v>0</v>
      </c>
      <c r="K1879" s="514">
        <v>0</v>
      </c>
      <c r="L1879" s="514">
        <v>0</v>
      </c>
      <c r="M1879" s="514">
        <v>0</v>
      </c>
      <c r="N1879" s="514">
        <v>0</v>
      </c>
      <c r="O1879" s="499"/>
      <c r="P1879" s="499"/>
      <c r="Q1879" s="499"/>
    </row>
    <row r="1880" spans="1:17" ht="14.4" x14ac:dyDescent="0.3">
      <c r="A1880" s="502">
        <v>6200020</v>
      </c>
      <c r="B1880" s="503" t="s">
        <v>3427</v>
      </c>
      <c r="C1880" s="514">
        <v>0</v>
      </c>
      <c r="D1880" s="514">
        <v>0</v>
      </c>
      <c r="E1880" s="514">
        <v>0</v>
      </c>
      <c r="F1880" s="514">
        <v>0</v>
      </c>
      <c r="G1880" s="514">
        <v>0</v>
      </c>
      <c r="H1880" s="514">
        <v>0</v>
      </c>
      <c r="I1880" s="514">
        <v>0</v>
      </c>
      <c r="J1880" s="514">
        <v>0</v>
      </c>
      <c r="K1880" s="514">
        <v>0</v>
      </c>
      <c r="L1880" s="514">
        <v>0</v>
      </c>
      <c r="M1880" s="514">
        <v>0</v>
      </c>
      <c r="N1880" s="514">
        <v>0</v>
      </c>
      <c r="O1880" s="499"/>
      <c r="P1880" s="499"/>
      <c r="Q1880" s="499"/>
    </row>
    <row r="1881" spans="1:17" ht="14.4" x14ac:dyDescent="0.3">
      <c r="A1881" s="502">
        <v>6200030</v>
      </c>
      <c r="B1881" s="503" t="s">
        <v>697</v>
      </c>
      <c r="C1881" s="514">
        <v>0</v>
      </c>
      <c r="D1881" s="514">
        <v>0</v>
      </c>
      <c r="E1881" s="514">
        <v>0</v>
      </c>
      <c r="F1881" s="514">
        <v>0</v>
      </c>
      <c r="G1881" s="514">
        <v>0</v>
      </c>
      <c r="H1881" s="514">
        <v>0</v>
      </c>
      <c r="I1881" s="514">
        <v>0</v>
      </c>
      <c r="J1881" s="514">
        <v>0</v>
      </c>
      <c r="K1881" s="514">
        <v>0</v>
      </c>
      <c r="L1881" s="514">
        <v>0</v>
      </c>
      <c r="M1881" s="514">
        <v>0</v>
      </c>
      <c r="N1881" s="514">
        <v>0</v>
      </c>
      <c r="O1881" s="499"/>
      <c r="P1881" s="499"/>
      <c r="Q1881" s="499"/>
    </row>
    <row r="1882" spans="1:17" ht="14.4" x14ac:dyDescent="0.3">
      <c r="A1882" s="502">
        <v>6200040</v>
      </c>
      <c r="B1882" s="503" t="s">
        <v>699</v>
      </c>
      <c r="C1882" s="514">
        <v>0</v>
      </c>
      <c r="D1882" s="514">
        <v>0</v>
      </c>
      <c r="E1882" s="514">
        <v>0</v>
      </c>
      <c r="F1882" s="514">
        <v>0</v>
      </c>
      <c r="G1882" s="514">
        <v>0</v>
      </c>
      <c r="H1882" s="514">
        <v>0</v>
      </c>
      <c r="I1882" s="514">
        <v>0</v>
      </c>
      <c r="J1882" s="514">
        <v>0</v>
      </c>
      <c r="K1882" s="514">
        <v>0</v>
      </c>
      <c r="L1882" s="514">
        <v>0</v>
      </c>
      <c r="M1882" s="514">
        <v>0</v>
      </c>
      <c r="N1882" s="514">
        <v>0</v>
      </c>
      <c r="O1882" s="499"/>
      <c r="P1882" s="499"/>
      <c r="Q1882" s="499"/>
    </row>
    <row r="1883" spans="1:17" ht="14.4" x14ac:dyDescent="0.3">
      <c r="A1883" s="502">
        <v>6200050</v>
      </c>
      <c r="B1883" s="503" t="s">
        <v>3428</v>
      </c>
      <c r="C1883" s="514">
        <v>0</v>
      </c>
      <c r="D1883" s="514">
        <v>0</v>
      </c>
      <c r="E1883" s="514">
        <v>0</v>
      </c>
      <c r="F1883" s="514">
        <v>0</v>
      </c>
      <c r="G1883" s="514">
        <v>0</v>
      </c>
      <c r="H1883" s="514">
        <v>0</v>
      </c>
      <c r="I1883" s="514">
        <v>0</v>
      </c>
      <c r="J1883" s="514">
        <v>0</v>
      </c>
      <c r="K1883" s="514">
        <v>0</v>
      </c>
      <c r="L1883" s="514">
        <v>0</v>
      </c>
      <c r="M1883" s="514">
        <v>0</v>
      </c>
      <c r="N1883" s="514">
        <v>0</v>
      </c>
      <c r="O1883" s="499"/>
      <c r="P1883" s="499"/>
      <c r="Q1883" s="499"/>
    </row>
    <row r="1884" spans="1:17" ht="14.4" x14ac:dyDescent="0.3">
      <c r="A1884" s="502">
        <v>6200060</v>
      </c>
      <c r="B1884" s="503" t="s">
        <v>701</v>
      </c>
      <c r="C1884" s="514">
        <v>5</v>
      </c>
      <c r="D1884" s="514">
        <v>0</v>
      </c>
      <c r="E1884" s="514">
        <v>0</v>
      </c>
      <c r="F1884" s="514">
        <v>5</v>
      </c>
      <c r="G1884" s="514">
        <v>0</v>
      </c>
      <c r="H1884" s="514">
        <v>0</v>
      </c>
      <c r="I1884" s="514">
        <v>6</v>
      </c>
      <c r="J1884" s="514">
        <v>0</v>
      </c>
      <c r="K1884" s="514">
        <v>0</v>
      </c>
      <c r="L1884" s="514">
        <v>5</v>
      </c>
      <c r="M1884" s="514">
        <v>0</v>
      </c>
      <c r="N1884" s="514">
        <v>0</v>
      </c>
      <c r="O1884" s="499"/>
      <c r="P1884" s="499"/>
      <c r="Q1884" s="499"/>
    </row>
    <row r="1885" spans="1:17" ht="14.4" x14ac:dyDescent="0.3">
      <c r="A1885" s="502">
        <v>6200070</v>
      </c>
      <c r="B1885" s="503" t="s">
        <v>3429</v>
      </c>
      <c r="C1885" s="514">
        <v>0</v>
      </c>
      <c r="D1885" s="514">
        <v>0</v>
      </c>
      <c r="E1885" s="514">
        <v>0</v>
      </c>
      <c r="F1885" s="514">
        <v>0</v>
      </c>
      <c r="G1885" s="514">
        <v>0</v>
      </c>
      <c r="H1885" s="514">
        <v>0</v>
      </c>
      <c r="I1885" s="514">
        <v>0</v>
      </c>
      <c r="J1885" s="514">
        <v>0</v>
      </c>
      <c r="K1885" s="514">
        <v>0</v>
      </c>
      <c r="L1885" s="514">
        <v>0</v>
      </c>
      <c r="M1885" s="514">
        <v>0</v>
      </c>
      <c r="N1885" s="514">
        <v>0</v>
      </c>
      <c r="O1885" s="499"/>
      <c r="P1885" s="499"/>
      <c r="Q1885" s="499"/>
    </row>
    <row r="1886" spans="1:17" ht="14.4" x14ac:dyDescent="0.3">
      <c r="A1886" s="502">
        <v>6200080</v>
      </c>
      <c r="B1886" s="503" t="s">
        <v>709</v>
      </c>
      <c r="C1886" s="514">
        <v>1416</v>
      </c>
      <c r="D1886" s="514">
        <v>1325</v>
      </c>
      <c r="E1886" s="514">
        <v>1416</v>
      </c>
      <c r="F1886" s="514">
        <v>1370</v>
      </c>
      <c r="G1886" s="514">
        <v>1416</v>
      </c>
      <c r="H1886" s="514">
        <v>757</v>
      </c>
      <c r="I1886" s="514">
        <v>0</v>
      </c>
      <c r="J1886" s="514">
        <v>0</v>
      </c>
      <c r="K1886" s="514">
        <v>2350</v>
      </c>
      <c r="L1886" s="514">
        <v>0</v>
      </c>
      <c r="M1886" s="514">
        <v>0</v>
      </c>
      <c r="N1886" s="514">
        <v>0</v>
      </c>
      <c r="O1886" s="499"/>
      <c r="P1886" s="499"/>
      <c r="Q1886" s="499"/>
    </row>
    <row r="1887" spans="1:17" ht="14.4" x14ac:dyDescent="0.3">
      <c r="A1887" s="502">
        <v>6200700</v>
      </c>
      <c r="B1887" s="503" t="s">
        <v>3430</v>
      </c>
      <c r="C1887" s="514">
        <v>0</v>
      </c>
      <c r="D1887" s="514">
        <v>0</v>
      </c>
      <c r="E1887" s="514">
        <v>0</v>
      </c>
      <c r="F1887" s="514">
        <v>0</v>
      </c>
      <c r="G1887" s="514">
        <v>0</v>
      </c>
      <c r="H1887" s="514">
        <v>0</v>
      </c>
      <c r="I1887" s="514">
        <v>0</v>
      </c>
      <c r="J1887" s="514">
        <v>0</v>
      </c>
      <c r="K1887" s="514">
        <v>0</v>
      </c>
      <c r="L1887" s="514">
        <v>0</v>
      </c>
      <c r="M1887" s="514">
        <v>0</v>
      </c>
      <c r="N1887" s="514">
        <v>0</v>
      </c>
      <c r="O1887" s="499"/>
      <c r="P1887" s="499"/>
      <c r="Q1887" s="499"/>
    </row>
    <row r="1888" spans="1:17" ht="14.4" x14ac:dyDescent="0.3">
      <c r="A1888" s="502">
        <v>6209000</v>
      </c>
      <c r="B1888" s="503" t="s">
        <v>3431</v>
      </c>
      <c r="C1888" s="514">
        <v>0</v>
      </c>
      <c r="D1888" s="514">
        <v>0</v>
      </c>
      <c r="E1888" s="514">
        <v>0</v>
      </c>
      <c r="F1888" s="514">
        <v>0</v>
      </c>
      <c r="G1888" s="514">
        <v>0</v>
      </c>
      <c r="H1888" s="514">
        <v>0</v>
      </c>
      <c r="I1888" s="514">
        <v>0</v>
      </c>
      <c r="J1888" s="514">
        <v>0</v>
      </c>
      <c r="K1888" s="514">
        <v>0</v>
      </c>
      <c r="L1888" s="514">
        <v>0</v>
      </c>
      <c r="M1888" s="514">
        <v>0</v>
      </c>
      <c r="N1888" s="514">
        <v>0</v>
      </c>
      <c r="O1888" s="499"/>
      <c r="P1888" s="499"/>
      <c r="Q1888" s="499"/>
    </row>
    <row r="1889" spans="1:17" ht="14.4" x14ac:dyDescent="0.3">
      <c r="A1889" s="502">
        <v>6250100</v>
      </c>
      <c r="B1889" s="503" t="s">
        <v>711</v>
      </c>
      <c r="C1889" s="514">
        <v>0</v>
      </c>
      <c r="D1889" s="514">
        <v>0</v>
      </c>
      <c r="E1889" s="514">
        <v>0</v>
      </c>
      <c r="F1889" s="514">
        <v>0</v>
      </c>
      <c r="G1889" s="514">
        <v>0</v>
      </c>
      <c r="H1889" s="514">
        <v>0</v>
      </c>
      <c r="I1889" s="514">
        <v>0</v>
      </c>
      <c r="J1889" s="514">
        <v>0</v>
      </c>
      <c r="K1889" s="514">
        <v>0</v>
      </c>
      <c r="L1889" s="514">
        <v>0</v>
      </c>
      <c r="M1889" s="514">
        <v>0</v>
      </c>
      <c r="N1889" s="514">
        <v>0</v>
      </c>
      <c r="O1889" s="499"/>
      <c r="P1889" s="499"/>
      <c r="Q1889" s="499"/>
    </row>
    <row r="1890" spans="1:17" ht="14.4" x14ac:dyDescent="0.3">
      <c r="A1890" s="502">
        <v>6250110</v>
      </c>
      <c r="B1890" s="503" t="s">
        <v>3432</v>
      </c>
      <c r="C1890" s="514">
        <v>0</v>
      </c>
      <c r="D1890" s="514">
        <v>0</v>
      </c>
      <c r="E1890" s="514">
        <v>0</v>
      </c>
      <c r="F1890" s="514">
        <v>0</v>
      </c>
      <c r="G1890" s="514">
        <v>0</v>
      </c>
      <c r="H1890" s="514">
        <v>0</v>
      </c>
      <c r="I1890" s="514">
        <v>0</v>
      </c>
      <c r="J1890" s="514">
        <v>0</v>
      </c>
      <c r="K1890" s="514">
        <v>0</v>
      </c>
      <c r="L1890" s="514">
        <v>0</v>
      </c>
      <c r="M1890" s="514">
        <v>0</v>
      </c>
      <c r="N1890" s="514">
        <v>0</v>
      </c>
      <c r="O1890" s="499"/>
      <c r="P1890" s="499"/>
      <c r="Q1890" s="499"/>
    </row>
    <row r="1891" spans="1:17" ht="14.4" x14ac:dyDescent="0.3">
      <c r="A1891" s="502">
        <v>6250120</v>
      </c>
      <c r="B1891" s="503" t="s">
        <v>3432</v>
      </c>
      <c r="C1891" s="514">
        <v>0</v>
      </c>
      <c r="D1891" s="514">
        <v>0</v>
      </c>
      <c r="E1891" s="514">
        <v>0</v>
      </c>
      <c r="F1891" s="514">
        <v>0</v>
      </c>
      <c r="G1891" s="514">
        <v>0</v>
      </c>
      <c r="H1891" s="514">
        <v>0</v>
      </c>
      <c r="I1891" s="514">
        <v>0</v>
      </c>
      <c r="J1891" s="514">
        <v>0</v>
      </c>
      <c r="K1891" s="514">
        <v>0</v>
      </c>
      <c r="L1891" s="514">
        <v>0</v>
      </c>
      <c r="M1891" s="514">
        <v>0</v>
      </c>
      <c r="N1891" s="514">
        <v>0</v>
      </c>
      <c r="O1891" s="499"/>
      <c r="P1891" s="499"/>
      <c r="Q1891" s="499"/>
    </row>
    <row r="1892" spans="1:17" ht="14.4" x14ac:dyDescent="0.3">
      <c r="A1892" s="502">
        <v>6259000</v>
      </c>
      <c r="B1892" s="503" t="s">
        <v>3433</v>
      </c>
      <c r="C1892" s="514">
        <v>0</v>
      </c>
      <c r="D1892" s="514">
        <v>0</v>
      </c>
      <c r="E1892" s="514">
        <v>0</v>
      </c>
      <c r="F1892" s="514">
        <v>0</v>
      </c>
      <c r="G1892" s="514">
        <v>0</v>
      </c>
      <c r="H1892" s="514">
        <v>0</v>
      </c>
      <c r="I1892" s="514">
        <v>0</v>
      </c>
      <c r="J1892" s="514">
        <v>0</v>
      </c>
      <c r="K1892" s="514">
        <v>0</v>
      </c>
      <c r="L1892" s="514">
        <v>0</v>
      </c>
      <c r="M1892" s="514">
        <v>0</v>
      </c>
      <c r="N1892" s="514">
        <v>0</v>
      </c>
      <c r="O1892" s="499"/>
      <c r="P1892" s="499"/>
      <c r="Q1892" s="499"/>
    </row>
    <row r="1893" spans="1:17" ht="14.4" x14ac:dyDescent="0.3">
      <c r="A1893" s="502">
        <v>6300010</v>
      </c>
      <c r="B1893" s="503" t="s">
        <v>3434</v>
      </c>
      <c r="C1893" s="514">
        <v>0</v>
      </c>
      <c r="D1893" s="514">
        <v>0</v>
      </c>
      <c r="E1893" s="514">
        <v>0</v>
      </c>
      <c r="F1893" s="514">
        <v>0</v>
      </c>
      <c r="G1893" s="514">
        <v>0</v>
      </c>
      <c r="H1893" s="514">
        <v>0</v>
      </c>
      <c r="I1893" s="514">
        <v>0</v>
      </c>
      <c r="J1893" s="514">
        <v>0</v>
      </c>
      <c r="K1893" s="514">
        <v>0</v>
      </c>
      <c r="L1893" s="514">
        <v>0</v>
      </c>
      <c r="M1893" s="514">
        <v>0</v>
      </c>
      <c r="N1893" s="514">
        <v>0</v>
      </c>
      <c r="O1893" s="499"/>
      <c r="P1893" s="499"/>
      <c r="Q1893" s="499"/>
    </row>
    <row r="1894" spans="1:17" ht="14.4" x14ac:dyDescent="0.3">
      <c r="A1894" s="502">
        <v>6300100</v>
      </c>
      <c r="B1894" s="503" t="s">
        <v>3435</v>
      </c>
      <c r="C1894" s="514">
        <v>0</v>
      </c>
      <c r="D1894" s="514">
        <v>0</v>
      </c>
      <c r="E1894" s="514">
        <v>0</v>
      </c>
      <c r="F1894" s="514">
        <v>0</v>
      </c>
      <c r="G1894" s="514">
        <v>0</v>
      </c>
      <c r="H1894" s="514">
        <v>0</v>
      </c>
      <c r="I1894" s="514">
        <v>0</v>
      </c>
      <c r="J1894" s="514">
        <v>0</v>
      </c>
      <c r="K1894" s="514">
        <v>0</v>
      </c>
      <c r="L1894" s="514">
        <v>0</v>
      </c>
      <c r="M1894" s="514">
        <v>0</v>
      </c>
      <c r="N1894" s="514">
        <v>0</v>
      </c>
      <c r="O1894" s="499"/>
      <c r="P1894" s="499"/>
      <c r="Q1894" s="499"/>
    </row>
    <row r="1895" spans="1:17" ht="14.4" x14ac:dyDescent="0.3">
      <c r="A1895" s="502">
        <v>6300110</v>
      </c>
      <c r="B1895" s="503" t="s">
        <v>3436</v>
      </c>
      <c r="C1895" s="514">
        <v>0</v>
      </c>
      <c r="D1895" s="514">
        <v>0</v>
      </c>
      <c r="E1895" s="514">
        <v>0</v>
      </c>
      <c r="F1895" s="514">
        <v>0</v>
      </c>
      <c r="G1895" s="514">
        <v>0</v>
      </c>
      <c r="H1895" s="514">
        <v>0</v>
      </c>
      <c r="I1895" s="514">
        <v>0</v>
      </c>
      <c r="J1895" s="514">
        <v>0</v>
      </c>
      <c r="K1895" s="514">
        <v>0</v>
      </c>
      <c r="L1895" s="514">
        <v>0</v>
      </c>
      <c r="M1895" s="514">
        <v>0</v>
      </c>
      <c r="N1895" s="514">
        <v>0</v>
      </c>
      <c r="O1895" s="499"/>
      <c r="P1895" s="499"/>
      <c r="Q1895" s="499"/>
    </row>
    <row r="1896" spans="1:17" ht="14.4" x14ac:dyDescent="0.3">
      <c r="A1896" s="502">
        <v>6300700</v>
      </c>
      <c r="B1896" s="503" t="s">
        <v>3437</v>
      </c>
      <c r="C1896" s="514">
        <v>0</v>
      </c>
      <c r="D1896" s="514">
        <v>0</v>
      </c>
      <c r="E1896" s="514">
        <v>0</v>
      </c>
      <c r="F1896" s="514">
        <v>0</v>
      </c>
      <c r="G1896" s="514">
        <v>0</v>
      </c>
      <c r="H1896" s="514">
        <v>0</v>
      </c>
      <c r="I1896" s="514">
        <v>0</v>
      </c>
      <c r="J1896" s="514">
        <v>0</v>
      </c>
      <c r="K1896" s="514">
        <v>0</v>
      </c>
      <c r="L1896" s="514">
        <v>0</v>
      </c>
      <c r="M1896" s="514">
        <v>0</v>
      </c>
      <c r="N1896" s="514">
        <v>0</v>
      </c>
      <c r="O1896" s="499"/>
      <c r="P1896" s="499"/>
      <c r="Q1896" s="499"/>
    </row>
    <row r="1897" spans="1:17" ht="14.4" x14ac:dyDescent="0.3">
      <c r="A1897" s="502">
        <v>6309000</v>
      </c>
      <c r="B1897" s="503" t="s">
        <v>3438</v>
      </c>
      <c r="C1897" s="514">
        <v>0</v>
      </c>
      <c r="D1897" s="514">
        <v>0</v>
      </c>
      <c r="E1897" s="514">
        <v>0</v>
      </c>
      <c r="F1897" s="514">
        <v>0</v>
      </c>
      <c r="G1897" s="514">
        <v>0</v>
      </c>
      <c r="H1897" s="514">
        <v>0</v>
      </c>
      <c r="I1897" s="514">
        <v>0</v>
      </c>
      <c r="J1897" s="514">
        <v>0</v>
      </c>
      <c r="K1897" s="514">
        <v>0</v>
      </c>
      <c r="L1897" s="514">
        <v>0</v>
      </c>
      <c r="M1897" s="514">
        <v>0</v>
      </c>
      <c r="N1897" s="514">
        <v>0</v>
      </c>
      <c r="O1897" s="499"/>
      <c r="P1897" s="499"/>
      <c r="Q1897" s="499"/>
    </row>
    <row r="1898" spans="1:17" ht="14.4" x14ac:dyDescent="0.3">
      <c r="A1898" s="502">
        <v>6350100</v>
      </c>
      <c r="B1898" s="503" t="s">
        <v>3439</v>
      </c>
      <c r="C1898" s="514">
        <v>0</v>
      </c>
      <c r="D1898" s="514">
        <v>0</v>
      </c>
      <c r="E1898" s="514">
        <v>0</v>
      </c>
      <c r="F1898" s="514">
        <v>0</v>
      </c>
      <c r="G1898" s="514">
        <v>0</v>
      </c>
      <c r="H1898" s="514">
        <v>0</v>
      </c>
      <c r="I1898" s="514">
        <v>0</v>
      </c>
      <c r="J1898" s="514">
        <v>0</v>
      </c>
      <c r="K1898" s="514">
        <v>0</v>
      </c>
      <c r="L1898" s="514">
        <v>0</v>
      </c>
      <c r="M1898" s="514">
        <v>0</v>
      </c>
      <c r="N1898" s="514">
        <v>0</v>
      </c>
      <c r="O1898" s="499"/>
      <c r="P1898" s="499"/>
      <c r="Q1898" s="499"/>
    </row>
    <row r="1899" spans="1:17" ht="14.4" x14ac:dyDescent="0.3">
      <c r="A1899" s="502">
        <v>6359000</v>
      </c>
      <c r="B1899" s="503" t="s">
        <v>3440</v>
      </c>
      <c r="C1899" s="514">
        <v>0</v>
      </c>
      <c r="D1899" s="514">
        <v>0</v>
      </c>
      <c r="E1899" s="514">
        <v>0</v>
      </c>
      <c r="F1899" s="514">
        <v>0</v>
      </c>
      <c r="G1899" s="514">
        <v>0</v>
      </c>
      <c r="H1899" s="514">
        <v>0</v>
      </c>
      <c r="I1899" s="514">
        <v>0</v>
      </c>
      <c r="J1899" s="514">
        <v>0</v>
      </c>
      <c r="K1899" s="514">
        <v>0</v>
      </c>
      <c r="L1899" s="514">
        <v>0</v>
      </c>
      <c r="M1899" s="514">
        <v>0</v>
      </c>
      <c r="N1899" s="514">
        <v>0</v>
      </c>
      <c r="O1899" s="499"/>
      <c r="P1899" s="499"/>
      <c r="Q1899" s="499"/>
    </row>
    <row r="1900" spans="1:17" ht="14.4" x14ac:dyDescent="0.3">
      <c r="A1900" s="502">
        <v>6400010</v>
      </c>
      <c r="B1900" s="503" t="s">
        <v>932</v>
      </c>
      <c r="C1900" s="514">
        <v>83</v>
      </c>
      <c r="D1900" s="514">
        <v>83</v>
      </c>
      <c r="E1900" s="514">
        <v>83</v>
      </c>
      <c r="F1900" s="514">
        <v>83</v>
      </c>
      <c r="G1900" s="514">
        <v>83</v>
      </c>
      <c r="H1900" s="514">
        <v>298</v>
      </c>
      <c r="I1900" s="514">
        <v>283</v>
      </c>
      <c r="J1900" s="514">
        <v>83</v>
      </c>
      <c r="K1900" s="514">
        <v>83</v>
      </c>
      <c r="L1900" s="514">
        <v>83</v>
      </c>
      <c r="M1900" s="514">
        <v>83</v>
      </c>
      <c r="N1900" s="514">
        <v>83</v>
      </c>
      <c r="O1900" s="499"/>
      <c r="P1900" s="499"/>
      <c r="Q1900" s="499"/>
    </row>
    <row r="1901" spans="1:17" ht="14.4" x14ac:dyDescent="0.3">
      <c r="A1901" s="502">
        <v>6400020</v>
      </c>
      <c r="B1901" s="503" t="s">
        <v>934</v>
      </c>
      <c r="C1901" s="514">
        <v>667</v>
      </c>
      <c r="D1901" s="514">
        <v>667</v>
      </c>
      <c r="E1901" s="514">
        <v>667</v>
      </c>
      <c r="F1901" s="514">
        <v>667</v>
      </c>
      <c r="G1901" s="514">
        <v>667</v>
      </c>
      <c r="H1901" s="514">
        <v>667</v>
      </c>
      <c r="I1901" s="514">
        <v>667</v>
      </c>
      <c r="J1901" s="514">
        <v>667</v>
      </c>
      <c r="K1901" s="514">
        <v>667</v>
      </c>
      <c r="L1901" s="514">
        <v>667</v>
      </c>
      <c r="M1901" s="514">
        <v>667</v>
      </c>
      <c r="N1901" s="514">
        <v>667</v>
      </c>
      <c r="O1901" s="499"/>
      <c r="P1901" s="499"/>
      <c r="Q1901" s="499"/>
    </row>
    <row r="1902" spans="1:17" ht="14.4" x14ac:dyDescent="0.3">
      <c r="A1902" s="502">
        <v>6400030</v>
      </c>
      <c r="B1902" s="503" t="s">
        <v>936</v>
      </c>
      <c r="C1902" s="514">
        <v>0</v>
      </c>
      <c r="D1902" s="514">
        <v>0</v>
      </c>
      <c r="E1902" s="514">
        <v>0</v>
      </c>
      <c r="F1902" s="514">
        <v>0</v>
      </c>
      <c r="G1902" s="514">
        <v>0</v>
      </c>
      <c r="H1902" s="514">
        <v>0</v>
      </c>
      <c r="I1902" s="514">
        <v>0</v>
      </c>
      <c r="J1902" s="514">
        <v>0</v>
      </c>
      <c r="K1902" s="514">
        <v>0</v>
      </c>
      <c r="L1902" s="514">
        <v>0</v>
      </c>
      <c r="M1902" s="514">
        <v>0</v>
      </c>
      <c r="N1902" s="514">
        <v>0</v>
      </c>
      <c r="O1902" s="499"/>
      <c r="P1902" s="499"/>
      <c r="Q1902" s="499"/>
    </row>
    <row r="1903" spans="1:17" ht="14.4" x14ac:dyDescent="0.3">
      <c r="A1903" s="502">
        <v>6400040</v>
      </c>
      <c r="B1903" s="503" t="s">
        <v>938</v>
      </c>
      <c r="C1903" s="514">
        <v>0</v>
      </c>
      <c r="D1903" s="514">
        <v>0</v>
      </c>
      <c r="E1903" s="514">
        <v>0</v>
      </c>
      <c r="F1903" s="514">
        <v>0</v>
      </c>
      <c r="G1903" s="514">
        <v>0</v>
      </c>
      <c r="H1903" s="514">
        <v>0</v>
      </c>
      <c r="I1903" s="514">
        <v>0</v>
      </c>
      <c r="J1903" s="514">
        <v>0</v>
      </c>
      <c r="K1903" s="514">
        <v>0</v>
      </c>
      <c r="L1903" s="514">
        <v>0</v>
      </c>
      <c r="M1903" s="514">
        <v>0</v>
      </c>
      <c r="N1903" s="514">
        <v>0</v>
      </c>
      <c r="O1903" s="499"/>
      <c r="P1903" s="499"/>
      <c r="Q1903" s="499"/>
    </row>
    <row r="1904" spans="1:17" ht="14.4" x14ac:dyDescent="0.3">
      <c r="A1904" s="502">
        <v>6400050</v>
      </c>
      <c r="B1904" s="503" t="s">
        <v>940</v>
      </c>
      <c r="C1904" s="514">
        <v>0</v>
      </c>
      <c r="D1904" s="514">
        <v>0</v>
      </c>
      <c r="E1904" s="514">
        <v>0</v>
      </c>
      <c r="F1904" s="514">
        <v>0</v>
      </c>
      <c r="G1904" s="514">
        <v>0</v>
      </c>
      <c r="H1904" s="514">
        <v>0</v>
      </c>
      <c r="I1904" s="514">
        <v>0</v>
      </c>
      <c r="J1904" s="514">
        <v>0</v>
      </c>
      <c r="K1904" s="514">
        <v>0</v>
      </c>
      <c r="L1904" s="514">
        <v>0</v>
      </c>
      <c r="M1904" s="514">
        <v>0</v>
      </c>
      <c r="N1904" s="514">
        <v>0</v>
      </c>
      <c r="O1904" s="499"/>
      <c r="P1904" s="499"/>
      <c r="Q1904" s="499"/>
    </row>
    <row r="1905" spans="1:17" ht="14.4" x14ac:dyDescent="0.3">
      <c r="A1905" s="502">
        <v>6400060</v>
      </c>
      <c r="B1905" s="503" t="s">
        <v>942</v>
      </c>
      <c r="C1905" s="514">
        <v>0</v>
      </c>
      <c r="D1905" s="514">
        <v>0</v>
      </c>
      <c r="E1905" s="514">
        <v>0</v>
      </c>
      <c r="F1905" s="514">
        <v>0</v>
      </c>
      <c r="G1905" s="514">
        <v>0</v>
      </c>
      <c r="H1905" s="514">
        <v>0</v>
      </c>
      <c r="I1905" s="514">
        <v>0</v>
      </c>
      <c r="J1905" s="514">
        <v>0</v>
      </c>
      <c r="K1905" s="514">
        <v>0</v>
      </c>
      <c r="L1905" s="514">
        <v>0</v>
      </c>
      <c r="M1905" s="514">
        <v>0</v>
      </c>
      <c r="N1905" s="514">
        <v>0</v>
      </c>
      <c r="O1905" s="499"/>
      <c r="P1905" s="499"/>
      <c r="Q1905" s="499"/>
    </row>
    <row r="1906" spans="1:17" ht="14.4" x14ac:dyDescent="0.3">
      <c r="A1906" s="502">
        <v>6400070</v>
      </c>
      <c r="B1906" s="503" t="s">
        <v>944</v>
      </c>
      <c r="C1906" s="514">
        <v>0</v>
      </c>
      <c r="D1906" s="514">
        <v>0</v>
      </c>
      <c r="E1906" s="514">
        <v>0</v>
      </c>
      <c r="F1906" s="514">
        <v>0</v>
      </c>
      <c r="G1906" s="514">
        <v>0</v>
      </c>
      <c r="H1906" s="514">
        <v>0</v>
      </c>
      <c r="I1906" s="514">
        <v>0</v>
      </c>
      <c r="J1906" s="514">
        <v>0</v>
      </c>
      <c r="K1906" s="514">
        <v>0</v>
      </c>
      <c r="L1906" s="514">
        <v>0</v>
      </c>
      <c r="M1906" s="514">
        <v>0</v>
      </c>
      <c r="N1906" s="514">
        <v>0</v>
      </c>
      <c r="O1906" s="499"/>
      <c r="P1906" s="499"/>
      <c r="Q1906" s="499"/>
    </row>
    <row r="1907" spans="1:17" ht="14.4" x14ac:dyDescent="0.3">
      <c r="A1907" s="502">
        <v>6400080</v>
      </c>
      <c r="B1907" s="503" t="s">
        <v>946</v>
      </c>
      <c r="C1907" s="514">
        <v>0</v>
      </c>
      <c r="D1907" s="514">
        <v>0</v>
      </c>
      <c r="E1907" s="514">
        <v>0</v>
      </c>
      <c r="F1907" s="514">
        <v>0</v>
      </c>
      <c r="G1907" s="514">
        <v>0</v>
      </c>
      <c r="H1907" s="514">
        <v>0</v>
      </c>
      <c r="I1907" s="514">
        <v>0</v>
      </c>
      <c r="J1907" s="514">
        <v>0</v>
      </c>
      <c r="K1907" s="514">
        <v>0</v>
      </c>
      <c r="L1907" s="514">
        <v>0</v>
      </c>
      <c r="M1907" s="514">
        <v>0</v>
      </c>
      <c r="N1907" s="514">
        <v>0</v>
      </c>
      <c r="O1907" s="499"/>
      <c r="P1907" s="499"/>
      <c r="Q1907" s="499"/>
    </row>
    <row r="1908" spans="1:17" ht="14.4" x14ac:dyDescent="0.3">
      <c r="A1908" s="502">
        <v>6400100</v>
      </c>
      <c r="B1908" s="503" t="s">
        <v>948</v>
      </c>
      <c r="C1908" s="514">
        <v>2792</v>
      </c>
      <c r="D1908" s="514">
        <v>113208</v>
      </c>
      <c r="E1908" s="514">
        <v>337208</v>
      </c>
      <c r="F1908" s="514">
        <v>97208</v>
      </c>
      <c r="G1908" s="514">
        <v>297208</v>
      </c>
      <c r="H1908" s="514">
        <v>102792</v>
      </c>
      <c r="I1908" s="514">
        <v>102792</v>
      </c>
      <c r="J1908" s="514">
        <v>102792</v>
      </c>
      <c r="K1908" s="514">
        <v>2792</v>
      </c>
      <c r="L1908" s="514">
        <v>2792</v>
      </c>
      <c r="M1908" s="514">
        <v>2792</v>
      </c>
      <c r="N1908" s="514">
        <v>272792</v>
      </c>
      <c r="O1908" s="499"/>
      <c r="P1908" s="499"/>
      <c r="Q1908" s="499"/>
    </row>
    <row r="1909" spans="1:17" ht="14.4" x14ac:dyDescent="0.3">
      <c r="A1909" s="502">
        <v>6400500</v>
      </c>
      <c r="B1909" s="503" t="s">
        <v>950</v>
      </c>
      <c r="C1909" s="514">
        <v>0</v>
      </c>
      <c r="D1909" s="514">
        <v>0</v>
      </c>
      <c r="E1909" s="514">
        <v>0</v>
      </c>
      <c r="F1909" s="514">
        <v>0</v>
      </c>
      <c r="G1909" s="514">
        <v>0</v>
      </c>
      <c r="H1909" s="514">
        <v>0</v>
      </c>
      <c r="I1909" s="514">
        <v>0</v>
      </c>
      <c r="J1909" s="514">
        <v>0</v>
      </c>
      <c r="K1909" s="514">
        <v>0</v>
      </c>
      <c r="L1909" s="514">
        <v>0</v>
      </c>
      <c r="M1909" s="514">
        <v>0</v>
      </c>
      <c r="N1909" s="514">
        <v>0</v>
      </c>
      <c r="O1909" s="499"/>
      <c r="P1909" s="499"/>
      <c r="Q1909" s="499"/>
    </row>
    <row r="1910" spans="1:17" ht="14.4" x14ac:dyDescent="0.3">
      <c r="A1910" s="502">
        <v>6400505</v>
      </c>
      <c r="B1910" s="503" t="s">
        <v>952</v>
      </c>
      <c r="C1910" s="514">
        <v>0</v>
      </c>
      <c r="D1910" s="514">
        <v>0</v>
      </c>
      <c r="E1910" s="514">
        <v>0</v>
      </c>
      <c r="F1910" s="514">
        <v>0</v>
      </c>
      <c r="G1910" s="514">
        <v>0</v>
      </c>
      <c r="H1910" s="514">
        <v>0</v>
      </c>
      <c r="I1910" s="514">
        <v>0</v>
      </c>
      <c r="J1910" s="514">
        <v>0</v>
      </c>
      <c r="K1910" s="514">
        <v>0</v>
      </c>
      <c r="L1910" s="514">
        <v>0</v>
      </c>
      <c r="M1910" s="514">
        <v>0</v>
      </c>
      <c r="N1910" s="514">
        <v>0</v>
      </c>
      <c r="O1910" s="499"/>
      <c r="P1910" s="499"/>
      <c r="Q1910" s="499"/>
    </row>
    <row r="1911" spans="1:17" ht="14.4" x14ac:dyDescent="0.3">
      <c r="A1911" s="502">
        <v>6400510</v>
      </c>
      <c r="B1911" s="503" t="s">
        <v>954</v>
      </c>
      <c r="C1911" s="514">
        <v>0</v>
      </c>
      <c r="D1911" s="514">
        <v>0</v>
      </c>
      <c r="E1911" s="514">
        <v>419</v>
      </c>
      <c r="F1911" s="514">
        <v>26</v>
      </c>
      <c r="G1911" s="514">
        <v>15</v>
      </c>
      <c r="H1911" s="514">
        <v>61</v>
      </c>
      <c r="I1911" s="514">
        <v>93</v>
      </c>
      <c r="J1911" s="514">
        <v>834</v>
      </c>
      <c r="K1911" s="514">
        <v>0</v>
      </c>
      <c r="L1911" s="514">
        <v>226</v>
      </c>
      <c r="M1911" s="514">
        <v>0</v>
      </c>
      <c r="N1911" s="514">
        <v>467</v>
      </c>
      <c r="O1911" s="499"/>
      <c r="P1911" s="499"/>
      <c r="Q1911" s="499"/>
    </row>
    <row r="1912" spans="1:17" ht="14.4" x14ac:dyDescent="0.3">
      <c r="A1912" s="502">
        <v>6400520</v>
      </c>
      <c r="B1912" s="503" t="s">
        <v>956</v>
      </c>
      <c r="C1912" s="514">
        <v>0</v>
      </c>
      <c r="D1912" s="514">
        <v>0</v>
      </c>
      <c r="E1912" s="514">
        <v>0</v>
      </c>
      <c r="F1912" s="514">
        <v>0</v>
      </c>
      <c r="G1912" s="514">
        <v>0</v>
      </c>
      <c r="H1912" s="514">
        <v>0</v>
      </c>
      <c r="I1912" s="514">
        <v>0</v>
      </c>
      <c r="J1912" s="514">
        <v>0</v>
      </c>
      <c r="K1912" s="514">
        <v>0</v>
      </c>
      <c r="L1912" s="514">
        <v>0</v>
      </c>
      <c r="M1912" s="514">
        <v>0</v>
      </c>
      <c r="N1912" s="514">
        <v>0</v>
      </c>
      <c r="O1912" s="499"/>
      <c r="P1912" s="499"/>
      <c r="Q1912" s="499"/>
    </row>
    <row r="1913" spans="1:17" ht="14.4" x14ac:dyDescent="0.3">
      <c r="A1913" s="502">
        <v>6400521</v>
      </c>
      <c r="B1913" s="503" t="s">
        <v>3441</v>
      </c>
      <c r="C1913" s="514">
        <v>0</v>
      </c>
      <c r="D1913" s="514">
        <v>0</v>
      </c>
      <c r="E1913" s="514">
        <v>0</v>
      </c>
      <c r="F1913" s="514">
        <v>0</v>
      </c>
      <c r="G1913" s="514">
        <v>0</v>
      </c>
      <c r="H1913" s="514">
        <v>0</v>
      </c>
      <c r="I1913" s="514">
        <v>0</v>
      </c>
      <c r="J1913" s="514">
        <v>0</v>
      </c>
      <c r="K1913" s="514">
        <v>0</v>
      </c>
      <c r="L1913" s="514">
        <v>0</v>
      </c>
      <c r="M1913" s="514">
        <v>0</v>
      </c>
      <c r="N1913" s="514">
        <v>0</v>
      </c>
      <c r="O1913" s="499"/>
      <c r="P1913" s="499"/>
      <c r="Q1913" s="499"/>
    </row>
    <row r="1914" spans="1:17" ht="14.4" x14ac:dyDescent="0.3">
      <c r="A1914" s="502">
        <v>6400530</v>
      </c>
      <c r="B1914" s="503" t="s">
        <v>958</v>
      </c>
      <c r="C1914" s="514">
        <v>0</v>
      </c>
      <c r="D1914" s="514">
        <v>0</v>
      </c>
      <c r="E1914" s="514">
        <v>0</v>
      </c>
      <c r="F1914" s="514">
        <v>0</v>
      </c>
      <c r="G1914" s="514">
        <v>0</v>
      </c>
      <c r="H1914" s="514">
        <v>0</v>
      </c>
      <c r="I1914" s="514">
        <v>0</v>
      </c>
      <c r="J1914" s="514">
        <v>0</v>
      </c>
      <c r="K1914" s="514">
        <v>0</v>
      </c>
      <c r="L1914" s="514">
        <v>0</v>
      </c>
      <c r="M1914" s="514">
        <v>0</v>
      </c>
      <c r="N1914" s="514">
        <v>0</v>
      </c>
      <c r="O1914" s="499"/>
      <c r="P1914" s="499"/>
      <c r="Q1914" s="499"/>
    </row>
    <row r="1915" spans="1:17" ht="14.4" x14ac:dyDescent="0.3">
      <c r="A1915" s="502">
        <v>6401000</v>
      </c>
      <c r="B1915" s="503" t="s">
        <v>960</v>
      </c>
      <c r="C1915" s="514">
        <v>5958</v>
      </c>
      <c r="D1915" s="514">
        <v>5958</v>
      </c>
      <c r="E1915" s="514">
        <v>5959</v>
      </c>
      <c r="F1915" s="514">
        <v>5958</v>
      </c>
      <c r="G1915" s="514">
        <v>5958</v>
      </c>
      <c r="H1915" s="514">
        <v>5959</v>
      </c>
      <c r="I1915" s="514">
        <v>5958</v>
      </c>
      <c r="J1915" s="514">
        <v>5958</v>
      </c>
      <c r="K1915" s="514">
        <v>5959</v>
      </c>
      <c r="L1915" s="514">
        <v>5958</v>
      </c>
      <c r="M1915" s="514">
        <v>5958</v>
      </c>
      <c r="N1915" s="514">
        <v>5959</v>
      </c>
      <c r="O1915" s="499"/>
      <c r="P1915" s="499"/>
      <c r="Q1915" s="499"/>
    </row>
    <row r="1916" spans="1:17" ht="14.4" x14ac:dyDescent="0.3">
      <c r="A1916" s="502">
        <v>6401100</v>
      </c>
      <c r="B1916" s="503" t="s">
        <v>962</v>
      </c>
      <c r="C1916" s="514">
        <v>0</v>
      </c>
      <c r="D1916" s="514">
        <v>0</v>
      </c>
      <c r="E1916" s="514">
        <v>0</v>
      </c>
      <c r="F1916" s="514">
        <v>0</v>
      </c>
      <c r="G1916" s="514">
        <v>0</v>
      </c>
      <c r="H1916" s="514">
        <v>0</v>
      </c>
      <c r="I1916" s="514">
        <v>0</v>
      </c>
      <c r="J1916" s="514">
        <v>0</v>
      </c>
      <c r="K1916" s="514">
        <v>0</v>
      </c>
      <c r="L1916" s="514">
        <v>0</v>
      </c>
      <c r="M1916" s="514">
        <v>0</v>
      </c>
      <c r="N1916" s="514">
        <v>0</v>
      </c>
      <c r="O1916" s="499"/>
      <c r="P1916" s="499"/>
      <c r="Q1916" s="499"/>
    </row>
    <row r="1917" spans="1:17" ht="14.4" x14ac:dyDescent="0.3">
      <c r="A1917" s="502">
        <v>6401200</v>
      </c>
      <c r="B1917" s="503" t="s">
        <v>964</v>
      </c>
      <c r="C1917" s="514">
        <v>0</v>
      </c>
      <c r="D1917" s="514">
        <v>0</v>
      </c>
      <c r="E1917" s="514">
        <v>0</v>
      </c>
      <c r="F1917" s="514">
        <v>0</v>
      </c>
      <c r="G1917" s="514">
        <v>0</v>
      </c>
      <c r="H1917" s="514">
        <v>0</v>
      </c>
      <c r="I1917" s="514">
        <v>0</v>
      </c>
      <c r="J1917" s="514">
        <v>0</v>
      </c>
      <c r="K1917" s="514">
        <v>0</v>
      </c>
      <c r="L1917" s="514">
        <v>0</v>
      </c>
      <c r="M1917" s="514">
        <v>0</v>
      </c>
      <c r="N1917" s="514">
        <v>0</v>
      </c>
      <c r="O1917" s="499"/>
      <c r="P1917" s="499"/>
      <c r="Q1917" s="499"/>
    </row>
    <row r="1918" spans="1:17" ht="14.4" x14ac:dyDescent="0.3">
      <c r="A1918" s="502">
        <v>6401300</v>
      </c>
      <c r="B1918" s="503" t="s">
        <v>966</v>
      </c>
      <c r="C1918" s="514">
        <v>0</v>
      </c>
      <c r="D1918" s="514">
        <v>0</v>
      </c>
      <c r="E1918" s="514">
        <v>0</v>
      </c>
      <c r="F1918" s="514">
        <v>0</v>
      </c>
      <c r="G1918" s="514">
        <v>0</v>
      </c>
      <c r="H1918" s="514">
        <v>0</v>
      </c>
      <c r="I1918" s="514">
        <v>0</v>
      </c>
      <c r="J1918" s="514">
        <v>0</v>
      </c>
      <c r="K1918" s="514">
        <v>0</v>
      </c>
      <c r="L1918" s="514">
        <v>0</v>
      </c>
      <c r="M1918" s="514">
        <v>0</v>
      </c>
      <c r="N1918" s="514">
        <v>0</v>
      </c>
      <c r="O1918" s="499"/>
      <c r="P1918" s="499"/>
      <c r="Q1918" s="499"/>
    </row>
    <row r="1919" spans="1:17" ht="14.4" x14ac:dyDescent="0.3">
      <c r="A1919" s="502">
        <v>6408999</v>
      </c>
      <c r="B1919" s="503" t="s">
        <v>968</v>
      </c>
      <c r="C1919" s="514">
        <v>0</v>
      </c>
      <c r="D1919" s="514">
        <v>0</v>
      </c>
      <c r="E1919" s="514">
        <v>0</v>
      </c>
      <c r="F1919" s="514">
        <v>0</v>
      </c>
      <c r="G1919" s="514">
        <v>0</v>
      </c>
      <c r="H1919" s="514">
        <v>0</v>
      </c>
      <c r="I1919" s="514">
        <v>0</v>
      </c>
      <c r="J1919" s="514">
        <v>0</v>
      </c>
      <c r="K1919" s="514">
        <v>0</v>
      </c>
      <c r="L1919" s="514">
        <v>0</v>
      </c>
      <c r="M1919" s="514">
        <v>0</v>
      </c>
      <c r="N1919" s="514">
        <v>0</v>
      </c>
      <c r="O1919" s="499"/>
      <c r="P1919" s="499"/>
      <c r="Q1919" s="499"/>
    </row>
    <row r="1920" spans="1:17" ht="14.4" x14ac:dyDescent="0.3">
      <c r="A1920" s="502">
        <v>6409000</v>
      </c>
      <c r="B1920" s="503" t="s">
        <v>970</v>
      </c>
      <c r="C1920" s="514">
        <v>0</v>
      </c>
      <c r="D1920" s="514">
        <v>0</v>
      </c>
      <c r="E1920" s="514">
        <v>0</v>
      </c>
      <c r="F1920" s="514">
        <v>0</v>
      </c>
      <c r="G1920" s="514">
        <v>0</v>
      </c>
      <c r="H1920" s="514">
        <v>0</v>
      </c>
      <c r="I1920" s="514">
        <v>0</v>
      </c>
      <c r="J1920" s="514">
        <v>0</v>
      </c>
      <c r="K1920" s="514">
        <v>0</v>
      </c>
      <c r="L1920" s="514">
        <v>0</v>
      </c>
      <c r="M1920" s="514">
        <v>0</v>
      </c>
      <c r="N1920" s="514">
        <v>0</v>
      </c>
      <c r="O1920" s="499"/>
      <c r="P1920" s="499"/>
      <c r="Q1920" s="499"/>
    </row>
    <row r="1921" spans="1:17" ht="14.4" x14ac:dyDescent="0.3">
      <c r="A1921" s="502">
        <v>6500010</v>
      </c>
      <c r="B1921" s="503" t="s">
        <v>1200</v>
      </c>
      <c r="C1921" s="514">
        <v>0</v>
      </c>
      <c r="D1921" s="514">
        <v>0</v>
      </c>
      <c r="E1921" s="514">
        <v>0</v>
      </c>
      <c r="F1921" s="514">
        <v>0</v>
      </c>
      <c r="G1921" s="514">
        <v>0</v>
      </c>
      <c r="H1921" s="514">
        <v>0</v>
      </c>
      <c r="I1921" s="514">
        <v>0</v>
      </c>
      <c r="J1921" s="514">
        <v>0</v>
      </c>
      <c r="K1921" s="514">
        <v>0</v>
      </c>
      <c r="L1921" s="514">
        <v>0</v>
      </c>
      <c r="M1921" s="514">
        <v>0</v>
      </c>
      <c r="N1921" s="514">
        <v>0</v>
      </c>
      <c r="O1921" s="499"/>
      <c r="P1921" s="499"/>
      <c r="Q1921" s="499"/>
    </row>
    <row r="1922" spans="1:17" ht="14.4" x14ac:dyDescent="0.3">
      <c r="A1922" s="502">
        <v>6500015</v>
      </c>
      <c r="B1922" s="503" t="s">
        <v>1202</v>
      </c>
      <c r="C1922" s="514">
        <v>0</v>
      </c>
      <c r="D1922" s="514">
        <v>0</v>
      </c>
      <c r="E1922" s="514">
        <v>0</v>
      </c>
      <c r="F1922" s="514">
        <v>0</v>
      </c>
      <c r="G1922" s="514">
        <v>0</v>
      </c>
      <c r="H1922" s="514">
        <v>0</v>
      </c>
      <c r="I1922" s="514">
        <v>0</v>
      </c>
      <c r="J1922" s="514">
        <v>0</v>
      </c>
      <c r="K1922" s="514">
        <v>0</v>
      </c>
      <c r="L1922" s="514">
        <v>0</v>
      </c>
      <c r="M1922" s="514">
        <v>0</v>
      </c>
      <c r="N1922" s="514">
        <v>0</v>
      </c>
      <c r="O1922" s="499"/>
      <c r="P1922" s="499"/>
      <c r="Q1922" s="499"/>
    </row>
    <row r="1923" spans="1:17" ht="14.4" x14ac:dyDescent="0.3">
      <c r="A1923" s="502">
        <v>6500020</v>
      </c>
      <c r="B1923" s="503" t="s">
        <v>3442</v>
      </c>
      <c r="C1923" s="514">
        <v>0</v>
      </c>
      <c r="D1923" s="514">
        <v>0</v>
      </c>
      <c r="E1923" s="514">
        <v>0</v>
      </c>
      <c r="F1923" s="514">
        <v>0</v>
      </c>
      <c r="G1923" s="514">
        <v>0</v>
      </c>
      <c r="H1923" s="514">
        <v>0</v>
      </c>
      <c r="I1923" s="514">
        <v>0</v>
      </c>
      <c r="J1923" s="514">
        <v>0</v>
      </c>
      <c r="K1923" s="514">
        <v>0</v>
      </c>
      <c r="L1923" s="514">
        <v>0</v>
      </c>
      <c r="M1923" s="514">
        <v>0</v>
      </c>
      <c r="N1923" s="514">
        <v>0</v>
      </c>
      <c r="O1923" s="499"/>
      <c r="P1923" s="499"/>
      <c r="Q1923" s="499"/>
    </row>
    <row r="1924" spans="1:17" ht="14.4" x14ac:dyDescent="0.3">
      <c r="A1924" s="502">
        <v>6500030</v>
      </c>
      <c r="B1924" s="503" t="s">
        <v>3443</v>
      </c>
      <c r="C1924" s="514">
        <v>0</v>
      </c>
      <c r="D1924" s="514">
        <v>0</v>
      </c>
      <c r="E1924" s="514">
        <v>0</v>
      </c>
      <c r="F1924" s="514">
        <v>0</v>
      </c>
      <c r="G1924" s="514">
        <v>0</v>
      </c>
      <c r="H1924" s="514">
        <v>0</v>
      </c>
      <c r="I1924" s="514">
        <v>0</v>
      </c>
      <c r="J1924" s="514">
        <v>0</v>
      </c>
      <c r="K1924" s="514">
        <v>0</v>
      </c>
      <c r="L1924" s="514">
        <v>0</v>
      </c>
      <c r="M1924" s="514">
        <v>0</v>
      </c>
      <c r="N1924" s="514">
        <v>0</v>
      </c>
      <c r="O1924" s="499"/>
      <c r="P1924" s="499"/>
      <c r="Q1924" s="499"/>
    </row>
    <row r="1925" spans="1:17" ht="14.4" x14ac:dyDescent="0.3">
      <c r="A1925" s="502">
        <v>6500040</v>
      </c>
      <c r="B1925" s="503" t="s">
        <v>3444</v>
      </c>
      <c r="C1925" s="514">
        <v>0</v>
      </c>
      <c r="D1925" s="514">
        <v>0</v>
      </c>
      <c r="E1925" s="514">
        <v>0</v>
      </c>
      <c r="F1925" s="514">
        <v>0</v>
      </c>
      <c r="G1925" s="514">
        <v>0</v>
      </c>
      <c r="H1925" s="514">
        <v>0</v>
      </c>
      <c r="I1925" s="514">
        <v>0</v>
      </c>
      <c r="J1925" s="514">
        <v>0</v>
      </c>
      <c r="K1925" s="514">
        <v>0</v>
      </c>
      <c r="L1925" s="514">
        <v>0</v>
      </c>
      <c r="M1925" s="514">
        <v>0</v>
      </c>
      <c r="N1925" s="514">
        <v>0</v>
      </c>
      <c r="O1925" s="499"/>
      <c r="P1925" s="499"/>
      <c r="Q1925" s="499"/>
    </row>
    <row r="1926" spans="1:17" ht="14.4" x14ac:dyDescent="0.3">
      <c r="A1926" s="502">
        <v>6500050</v>
      </c>
      <c r="B1926" s="503" t="s">
        <v>3445</v>
      </c>
      <c r="C1926" s="514">
        <v>0</v>
      </c>
      <c r="D1926" s="514">
        <v>0</v>
      </c>
      <c r="E1926" s="514">
        <v>0</v>
      </c>
      <c r="F1926" s="514">
        <v>0</v>
      </c>
      <c r="G1926" s="514">
        <v>0</v>
      </c>
      <c r="H1926" s="514">
        <v>0</v>
      </c>
      <c r="I1926" s="514">
        <v>0</v>
      </c>
      <c r="J1926" s="514">
        <v>0</v>
      </c>
      <c r="K1926" s="514">
        <v>0</v>
      </c>
      <c r="L1926" s="514">
        <v>0</v>
      </c>
      <c r="M1926" s="514">
        <v>0</v>
      </c>
      <c r="N1926" s="514">
        <v>0</v>
      </c>
      <c r="O1926" s="499"/>
      <c r="P1926" s="499"/>
      <c r="Q1926" s="499"/>
    </row>
    <row r="1927" spans="1:17" ht="14.4" x14ac:dyDescent="0.3">
      <c r="A1927" s="502">
        <v>6500810</v>
      </c>
      <c r="B1927" s="503" t="s">
        <v>1204</v>
      </c>
      <c r="C1927" s="514">
        <v>0</v>
      </c>
      <c r="D1927" s="514">
        <v>0</v>
      </c>
      <c r="E1927" s="514">
        <v>0</v>
      </c>
      <c r="F1927" s="514">
        <v>0</v>
      </c>
      <c r="G1927" s="514">
        <v>0</v>
      </c>
      <c r="H1927" s="514">
        <v>0</v>
      </c>
      <c r="I1927" s="514">
        <v>0</v>
      </c>
      <c r="J1927" s="514">
        <v>0</v>
      </c>
      <c r="K1927" s="514">
        <v>0</v>
      </c>
      <c r="L1927" s="514">
        <v>0</v>
      </c>
      <c r="M1927" s="514">
        <v>0</v>
      </c>
      <c r="N1927" s="514">
        <v>0</v>
      </c>
      <c r="O1927" s="499"/>
      <c r="P1927" s="499"/>
      <c r="Q1927" s="499"/>
    </row>
    <row r="1928" spans="1:17" ht="14.4" x14ac:dyDescent="0.3">
      <c r="A1928" s="502">
        <v>6508999</v>
      </c>
      <c r="B1928" s="503" t="s">
        <v>3446</v>
      </c>
      <c r="C1928" s="514">
        <v>0</v>
      </c>
      <c r="D1928" s="514">
        <v>0</v>
      </c>
      <c r="E1928" s="514">
        <v>0</v>
      </c>
      <c r="F1928" s="514">
        <v>0</v>
      </c>
      <c r="G1928" s="514">
        <v>0</v>
      </c>
      <c r="H1928" s="514">
        <v>0</v>
      </c>
      <c r="I1928" s="514">
        <v>0</v>
      </c>
      <c r="J1928" s="514">
        <v>0</v>
      </c>
      <c r="K1928" s="514">
        <v>0</v>
      </c>
      <c r="L1928" s="514">
        <v>0</v>
      </c>
      <c r="M1928" s="514">
        <v>0</v>
      </c>
      <c r="N1928" s="514">
        <v>0</v>
      </c>
      <c r="O1928" s="499"/>
      <c r="P1928" s="499"/>
      <c r="Q1928" s="499"/>
    </row>
    <row r="1929" spans="1:17" ht="14.4" x14ac:dyDescent="0.3">
      <c r="A1929" s="502">
        <v>6509000</v>
      </c>
      <c r="B1929" s="503" t="s">
        <v>1206</v>
      </c>
      <c r="C1929" s="514">
        <v>0</v>
      </c>
      <c r="D1929" s="514">
        <v>0</v>
      </c>
      <c r="E1929" s="514">
        <v>0</v>
      </c>
      <c r="F1929" s="514">
        <v>0</v>
      </c>
      <c r="G1929" s="514">
        <v>0</v>
      </c>
      <c r="H1929" s="514">
        <v>0</v>
      </c>
      <c r="I1929" s="514">
        <v>0</v>
      </c>
      <c r="J1929" s="514">
        <v>0</v>
      </c>
      <c r="K1929" s="514">
        <v>0</v>
      </c>
      <c r="L1929" s="514">
        <v>0</v>
      </c>
      <c r="M1929" s="514">
        <v>0</v>
      </c>
      <c r="N1929" s="514">
        <v>0</v>
      </c>
      <c r="O1929" s="499"/>
      <c r="P1929" s="499"/>
      <c r="Q1929" s="499"/>
    </row>
    <row r="1930" spans="1:17" ht="14.4" x14ac:dyDescent="0.3">
      <c r="A1930" s="502">
        <v>6700400</v>
      </c>
      <c r="B1930" s="503" t="s">
        <v>1004</v>
      </c>
      <c r="C1930" s="514">
        <v>0</v>
      </c>
      <c r="D1930" s="514">
        <v>0</v>
      </c>
      <c r="E1930" s="514">
        <v>0</v>
      </c>
      <c r="F1930" s="514">
        <v>0</v>
      </c>
      <c r="G1930" s="514">
        <v>0</v>
      </c>
      <c r="H1930" s="514">
        <v>0</v>
      </c>
      <c r="I1930" s="514">
        <v>0</v>
      </c>
      <c r="J1930" s="514">
        <v>0</v>
      </c>
      <c r="K1930" s="514">
        <v>0</v>
      </c>
      <c r="L1930" s="514">
        <v>0</v>
      </c>
      <c r="M1930" s="514">
        <v>0</v>
      </c>
      <c r="N1930" s="514">
        <v>0</v>
      </c>
      <c r="O1930" s="499"/>
      <c r="P1930" s="499"/>
      <c r="Q1930" s="499"/>
    </row>
    <row r="1931" spans="1:17" ht="14.4" x14ac:dyDescent="0.3">
      <c r="A1931" s="502">
        <v>6700500</v>
      </c>
      <c r="B1931" s="503" t="s">
        <v>3447</v>
      </c>
      <c r="C1931" s="514">
        <v>0</v>
      </c>
      <c r="D1931" s="514">
        <v>0</v>
      </c>
      <c r="E1931" s="514">
        <v>0</v>
      </c>
      <c r="F1931" s="514">
        <v>0</v>
      </c>
      <c r="G1931" s="514">
        <v>0</v>
      </c>
      <c r="H1931" s="514">
        <v>0</v>
      </c>
      <c r="I1931" s="514">
        <v>0</v>
      </c>
      <c r="J1931" s="514">
        <v>0</v>
      </c>
      <c r="K1931" s="514">
        <v>0</v>
      </c>
      <c r="L1931" s="514">
        <v>0</v>
      </c>
      <c r="M1931" s="514">
        <v>0</v>
      </c>
      <c r="N1931" s="514">
        <v>0</v>
      </c>
      <c r="O1931" s="499"/>
      <c r="P1931" s="499"/>
      <c r="Q1931" s="499"/>
    </row>
    <row r="1932" spans="1:17" ht="14.4" x14ac:dyDescent="0.3">
      <c r="A1932" s="502">
        <v>6700501</v>
      </c>
      <c r="B1932" s="503" t="s">
        <v>3448</v>
      </c>
      <c r="C1932" s="514">
        <v>0</v>
      </c>
      <c r="D1932" s="514">
        <v>0</v>
      </c>
      <c r="E1932" s="514">
        <v>0</v>
      </c>
      <c r="F1932" s="514">
        <v>0</v>
      </c>
      <c r="G1932" s="514">
        <v>0</v>
      </c>
      <c r="H1932" s="514">
        <v>0</v>
      </c>
      <c r="I1932" s="514">
        <v>0</v>
      </c>
      <c r="J1932" s="514">
        <v>0</v>
      </c>
      <c r="K1932" s="514">
        <v>0</v>
      </c>
      <c r="L1932" s="514">
        <v>0</v>
      </c>
      <c r="M1932" s="514">
        <v>0</v>
      </c>
      <c r="N1932" s="514">
        <v>0</v>
      </c>
      <c r="O1932" s="499"/>
      <c r="P1932" s="499"/>
      <c r="Q1932" s="499"/>
    </row>
    <row r="1933" spans="1:17" ht="14.4" x14ac:dyDescent="0.3">
      <c r="A1933" s="502">
        <v>6700502</v>
      </c>
      <c r="B1933" s="503" t="s">
        <v>1006</v>
      </c>
      <c r="C1933" s="514">
        <v>0</v>
      </c>
      <c r="D1933" s="514">
        <v>0</v>
      </c>
      <c r="E1933" s="514">
        <v>0</v>
      </c>
      <c r="F1933" s="514">
        <v>0</v>
      </c>
      <c r="G1933" s="514">
        <v>0</v>
      </c>
      <c r="H1933" s="514">
        <v>0</v>
      </c>
      <c r="I1933" s="514">
        <v>0</v>
      </c>
      <c r="J1933" s="514">
        <v>0</v>
      </c>
      <c r="K1933" s="514">
        <v>0</v>
      </c>
      <c r="L1933" s="514">
        <v>0</v>
      </c>
      <c r="M1933" s="514">
        <v>0</v>
      </c>
      <c r="N1933" s="514">
        <v>0</v>
      </c>
      <c r="O1933" s="499"/>
      <c r="P1933" s="499"/>
      <c r="Q1933" s="499"/>
    </row>
    <row r="1934" spans="1:17" ht="14.4" x14ac:dyDescent="0.3">
      <c r="A1934" s="502">
        <v>6700503</v>
      </c>
      <c r="B1934" s="503" t="s">
        <v>1008</v>
      </c>
      <c r="C1934" s="514">
        <v>0</v>
      </c>
      <c r="D1934" s="514">
        <v>0</v>
      </c>
      <c r="E1934" s="514">
        <v>0</v>
      </c>
      <c r="F1934" s="514">
        <v>0</v>
      </c>
      <c r="G1934" s="514">
        <v>0</v>
      </c>
      <c r="H1934" s="514">
        <v>0</v>
      </c>
      <c r="I1934" s="514">
        <v>0</v>
      </c>
      <c r="J1934" s="514">
        <v>0</v>
      </c>
      <c r="K1934" s="514">
        <v>0</v>
      </c>
      <c r="L1934" s="514">
        <v>0</v>
      </c>
      <c r="M1934" s="514">
        <v>0</v>
      </c>
      <c r="N1934" s="514">
        <v>0</v>
      </c>
      <c r="O1934" s="499"/>
      <c r="P1934" s="499"/>
      <c r="Q1934" s="499"/>
    </row>
    <row r="1935" spans="1:17" ht="14.4" x14ac:dyDescent="0.3">
      <c r="A1935" s="502">
        <v>6700504</v>
      </c>
      <c r="B1935" s="503" t="s">
        <v>1010</v>
      </c>
      <c r="C1935" s="514">
        <v>0</v>
      </c>
      <c r="D1935" s="514">
        <v>0</v>
      </c>
      <c r="E1935" s="514">
        <v>0</v>
      </c>
      <c r="F1935" s="514">
        <v>0</v>
      </c>
      <c r="G1935" s="514">
        <v>0</v>
      </c>
      <c r="H1935" s="514">
        <v>0</v>
      </c>
      <c r="I1935" s="514">
        <v>0</v>
      </c>
      <c r="J1935" s="514">
        <v>0</v>
      </c>
      <c r="K1935" s="514">
        <v>0</v>
      </c>
      <c r="L1935" s="514">
        <v>0</v>
      </c>
      <c r="M1935" s="514">
        <v>0</v>
      </c>
      <c r="N1935" s="514">
        <v>0</v>
      </c>
      <c r="O1935" s="499"/>
      <c r="P1935" s="499"/>
      <c r="Q1935" s="499"/>
    </row>
    <row r="1936" spans="1:17" ht="14.4" x14ac:dyDescent="0.3">
      <c r="A1936" s="502">
        <v>6700505</v>
      </c>
      <c r="B1936" s="503" t="s">
        <v>1012</v>
      </c>
      <c r="C1936" s="514">
        <v>0</v>
      </c>
      <c r="D1936" s="514">
        <v>0</v>
      </c>
      <c r="E1936" s="514">
        <v>0</v>
      </c>
      <c r="F1936" s="514">
        <v>0</v>
      </c>
      <c r="G1936" s="514">
        <v>0</v>
      </c>
      <c r="H1936" s="514">
        <v>0</v>
      </c>
      <c r="I1936" s="514">
        <v>0</v>
      </c>
      <c r="J1936" s="514">
        <v>0</v>
      </c>
      <c r="K1936" s="514">
        <v>0</v>
      </c>
      <c r="L1936" s="514">
        <v>0</v>
      </c>
      <c r="M1936" s="514">
        <v>0</v>
      </c>
      <c r="N1936" s="514">
        <v>0</v>
      </c>
      <c r="O1936" s="499"/>
      <c r="P1936" s="499"/>
      <c r="Q1936" s="499"/>
    </row>
    <row r="1937" spans="1:17" ht="14.4" x14ac:dyDescent="0.3">
      <c r="A1937" s="502">
        <v>6700506</v>
      </c>
      <c r="B1937" s="503" t="s">
        <v>1014</v>
      </c>
      <c r="C1937" s="514">
        <v>0</v>
      </c>
      <c r="D1937" s="514">
        <v>0</v>
      </c>
      <c r="E1937" s="514">
        <v>0</v>
      </c>
      <c r="F1937" s="514">
        <v>0</v>
      </c>
      <c r="G1937" s="514">
        <v>0</v>
      </c>
      <c r="H1937" s="514">
        <v>0</v>
      </c>
      <c r="I1937" s="514">
        <v>0</v>
      </c>
      <c r="J1937" s="514">
        <v>0</v>
      </c>
      <c r="K1937" s="514">
        <v>0</v>
      </c>
      <c r="L1937" s="514">
        <v>0</v>
      </c>
      <c r="M1937" s="514">
        <v>0</v>
      </c>
      <c r="N1937" s="514">
        <v>0</v>
      </c>
      <c r="O1937" s="499"/>
      <c r="P1937" s="499"/>
      <c r="Q1937" s="499"/>
    </row>
    <row r="1938" spans="1:17" ht="14.4" x14ac:dyDescent="0.3">
      <c r="A1938" s="502">
        <v>6700507</v>
      </c>
      <c r="B1938" s="503" t="s">
        <v>1016</v>
      </c>
      <c r="C1938" s="514">
        <v>0</v>
      </c>
      <c r="D1938" s="514">
        <v>0</v>
      </c>
      <c r="E1938" s="514">
        <v>0</v>
      </c>
      <c r="F1938" s="514">
        <v>0</v>
      </c>
      <c r="G1938" s="514">
        <v>0</v>
      </c>
      <c r="H1938" s="514">
        <v>0</v>
      </c>
      <c r="I1938" s="514">
        <v>0</v>
      </c>
      <c r="J1938" s="514">
        <v>0</v>
      </c>
      <c r="K1938" s="514">
        <v>0</v>
      </c>
      <c r="L1938" s="514">
        <v>0</v>
      </c>
      <c r="M1938" s="514">
        <v>0</v>
      </c>
      <c r="N1938" s="514">
        <v>0</v>
      </c>
      <c r="O1938" s="499"/>
      <c r="P1938" s="499"/>
      <c r="Q1938" s="499"/>
    </row>
    <row r="1939" spans="1:17" ht="14.4" x14ac:dyDescent="0.3">
      <c r="A1939" s="502">
        <v>6700508</v>
      </c>
      <c r="B1939" s="503" t="s">
        <v>1018</v>
      </c>
      <c r="C1939" s="514">
        <v>0</v>
      </c>
      <c r="D1939" s="514">
        <v>0</v>
      </c>
      <c r="E1939" s="514">
        <v>0</v>
      </c>
      <c r="F1939" s="514">
        <v>0</v>
      </c>
      <c r="G1939" s="514">
        <v>0</v>
      </c>
      <c r="H1939" s="514">
        <v>0</v>
      </c>
      <c r="I1939" s="514">
        <v>0</v>
      </c>
      <c r="J1939" s="514">
        <v>0</v>
      </c>
      <c r="K1939" s="514">
        <v>0</v>
      </c>
      <c r="L1939" s="514">
        <v>0</v>
      </c>
      <c r="M1939" s="514">
        <v>0</v>
      </c>
      <c r="N1939" s="514">
        <v>0</v>
      </c>
      <c r="O1939" s="499"/>
      <c r="P1939" s="499"/>
      <c r="Q1939" s="499"/>
    </row>
    <row r="1940" spans="1:17" ht="14.4" x14ac:dyDescent="0.3">
      <c r="A1940" s="502">
        <v>6700509</v>
      </c>
      <c r="B1940" s="503" t="s">
        <v>1020</v>
      </c>
      <c r="C1940" s="514">
        <v>0</v>
      </c>
      <c r="D1940" s="514">
        <v>0</v>
      </c>
      <c r="E1940" s="514">
        <v>0</v>
      </c>
      <c r="F1940" s="514">
        <v>0</v>
      </c>
      <c r="G1940" s="514">
        <v>0</v>
      </c>
      <c r="H1940" s="514">
        <v>0</v>
      </c>
      <c r="I1940" s="514">
        <v>0</v>
      </c>
      <c r="J1940" s="514">
        <v>0</v>
      </c>
      <c r="K1940" s="514">
        <v>0</v>
      </c>
      <c r="L1940" s="514">
        <v>0</v>
      </c>
      <c r="M1940" s="514">
        <v>0</v>
      </c>
      <c r="N1940" s="514">
        <v>0</v>
      </c>
      <c r="O1940" s="499"/>
      <c r="P1940" s="499"/>
      <c r="Q1940" s="499"/>
    </row>
    <row r="1941" spans="1:17" ht="14.4" x14ac:dyDescent="0.3">
      <c r="A1941" s="502">
        <v>6700510</v>
      </c>
      <c r="B1941" s="503" t="s">
        <v>1022</v>
      </c>
      <c r="C1941" s="514">
        <v>0</v>
      </c>
      <c r="D1941" s="514">
        <v>0</v>
      </c>
      <c r="E1941" s="514">
        <v>0</v>
      </c>
      <c r="F1941" s="514">
        <v>0</v>
      </c>
      <c r="G1941" s="514">
        <v>0</v>
      </c>
      <c r="H1941" s="514">
        <v>0</v>
      </c>
      <c r="I1941" s="514">
        <v>0</v>
      </c>
      <c r="J1941" s="514">
        <v>0</v>
      </c>
      <c r="K1941" s="514">
        <v>0</v>
      </c>
      <c r="L1941" s="514">
        <v>0</v>
      </c>
      <c r="M1941" s="514">
        <v>0</v>
      </c>
      <c r="N1941" s="514">
        <v>0</v>
      </c>
      <c r="O1941" s="499"/>
      <c r="P1941" s="499"/>
      <c r="Q1941" s="499"/>
    </row>
    <row r="1942" spans="1:17" ht="14.4" x14ac:dyDescent="0.3">
      <c r="A1942" s="502">
        <v>6700511</v>
      </c>
      <c r="B1942" s="503" t="s">
        <v>3449</v>
      </c>
      <c r="C1942" s="514">
        <v>0</v>
      </c>
      <c r="D1942" s="514">
        <v>0</v>
      </c>
      <c r="E1942" s="514">
        <v>0</v>
      </c>
      <c r="F1942" s="514">
        <v>0</v>
      </c>
      <c r="G1942" s="514">
        <v>0</v>
      </c>
      <c r="H1942" s="514">
        <v>0</v>
      </c>
      <c r="I1942" s="514">
        <v>0</v>
      </c>
      <c r="J1942" s="514">
        <v>0</v>
      </c>
      <c r="K1942" s="514">
        <v>0</v>
      </c>
      <c r="L1942" s="514">
        <v>0</v>
      </c>
      <c r="M1942" s="514">
        <v>0</v>
      </c>
      <c r="N1942" s="514">
        <v>0</v>
      </c>
      <c r="O1942" s="499"/>
      <c r="P1942" s="499"/>
      <c r="Q1942" s="499"/>
    </row>
    <row r="1943" spans="1:17" ht="14.4" x14ac:dyDescent="0.3">
      <c r="A1943" s="502">
        <v>6700512</v>
      </c>
      <c r="B1943" s="503" t="s">
        <v>3450</v>
      </c>
      <c r="C1943" s="514">
        <v>0</v>
      </c>
      <c r="D1943" s="514">
        <v>0</v>
      </c>
      <c r="E1943" s="514">
        <v>0</v>
      </c>
      <c r="F1943" s="514">
        <v>0</v>
      </c>
      <c r="G1943" s="514">
        <v>0</v>
      </c>
      <c r="H1943" s="514">
        <v>0</v>
      </c>
      <c r="I1943" s="514">
        <v>0</v>
      </c>
      <c r="J1943" s="514">
        <v>0</v>
      </c>
      <c r="K1943" s="514">
        <v>0</v>
      </c>
      <c r="L1943" s="514">
        <v>0</v>
      </c>
      <c r="M1943" s="514">
        <v>0</v>
      </c>
      <c r="N1943" s="514">
        <v>0</v>
      </c>
      <c r="O1943" s="499"/>
      <c r="P1943" s="499"/>
      <c r="Q1943" s="499"/>
    </row>
    <row r="1944" spans="1:17" ht="14.4" x14ac:dyDescent="0.3">
      <c r="A1944" s="502">
        <v>6700513</v>
      </c>
      <c r="B1944" s="503" t="s">
        <v>3451</v>
      </c>
      <c r="C1944" s="514">
        <v>0</v>
      </c>
      <c r="D1944" s="514">
        <v>0</v>
      </c>
      <c r="E1944" s="514">
        <v>0</v>
      </c>
      <c r="F1944" s="514">
        <v>0</v>
      </c>
      <c r="G1944" s="514">
        <v>0</v>
      </c>
      <c r="H1944" s="514">
        <v>0</v>
      </c>
      <c r="I1944" s="514">
        <v>0</v>
      </c>
      <c r="J1944" s="514">
        <v>0</v>
      </c>
      <c r="K1944" s="514">
        <v>0</v>
      </c>
      <c r="L1944" s="514">
        <v>0</v>
      </c>
      <c r="M1944" s="514">
        <v>0</v>
      </c>
      <c r="N1944" s="514">
        <v>0</v>
      </c>
      <c r="O1944" s="499"/>
      <c r="P1944" s="499"/>
      <c r="Q1944" s="499"/>
    </row>
    <row r="1945" spans="1:17" ht="14.4" x14ac:dyDescent="0.3">
      <c r="A1945" s="502">
        <v>6700514</v>
      </c>
      <c r="B1945" s="503" t="s">
        <v>1024</v>
      </c>
      <c r="C1945" s="514">
        <v>0</v>
      </c>
      <c r="D1945" s="514">
        <v>0</v>
      </c>
      <c r="E1945" s="514">
        <v>0</v>
      </c>
      <c r="F1945" s="514">
        <v>0</v>
      </c>
      <c r="G1945" s="514">
        <v>0</v>
      </c>
      <c r="H1945" s="514">
        <v>0</v>
      </c>
      <c r="I1945" s="514">
        <v>0</v>
      </c>
      <c r="J1945" s="514">
        <v>0</v>
      </c>
      <c r="K1945" s="514">
        <v>0</v>
      </c>
      <c r="L1945" s="514">
        <v>0</v>
      </c>
      <c r="M1945" s="514">
        <v>0</v>
      </c>
      <c r="N1945" s="514">
        <v>0</v>
      </c>
      <c r="O1945" s="499"/>
      <c r="P1945" s="499"/>
      <c r="Q1945" s="499"/>
    </row>
    <row r="1946" spans="1:17" ht="14.4" x14ac:dyDescent="0.3">
      <c r="A1946" s="502">
        <v>6700515</v>
      </c>
      <c r="B1946" s="503" t="s">
        <v>1026</v>
      </c>
      <c r="C1946" s="514">
        <v>0</v>
      </c>
      <c r="D1946" s="514">
        <v>0</v>
      </c>
      <c r="E1946" s="514">
        <v>0</v>
      </c>
      <c r="F1946" s="514">
        <v>0</v>
      </c>
      <c r="G1946" s="514">
        <v>0</v>
      </c>
      <c r="H1946" s="514">
        <v>0</v>
      </c>
      <c r="I1946" s="514">
        <v>0</v>
      </c>
      <c r="J1946" s="514">
        <v>0</v>
      </c>
      <c r="K1946" s="514">
        <v>0</v>
      </c>
      <c r="L1946" s="514">
        <v>0</v>
      </c>
      <c r="M1946" s="514">
        <v>0</v>
      </c>
      <c r="N1946" s="514">
        <v>0</v>
      </c>
      <c r="O1946" s="499"/>
      <c r="P1946" s="499"/>
      <c r="Q1946" s="499"/>
    </row>
    <row r="1947" spans="1:17" ht="14.4" x14ac:dyDescent="0.3">
      <c r="A1947" s="502">
        <v>6700516</v>
      </c>
      <c r="B1947" s="503" t="s">
        <v>1028</v>
      </c>
      <c r="C1947" s="514">
        <v>0</v>
      </c>
      <c r="D1947" s="514">
        <v>0</v>
      </c>
      <c r="E1947" s="514">
        <v>0</v>
      </c>
      <c r="F1947" s="514">
        <v>0</v>
      </c>
      <c r="G1947" s="514">
        <v>0</v>
      </c>
      <c r="H1947" s="514">
        <v>0</v>
      </c>
      <c r="I1947" s="514">
        <v>0</v>
      </c>
      <c r="J1947" s="514">
        <v>0</v>
      </c>
      <c r="K1947" s="514">
        <v>0</v>
      </c>
      <c r="L1947" s="514">
        <v>0</v>
      </c>
      <c r="M1947" s="514">
        <v>0</v>
      </c>
      <c r="N1947" s="514">
        <v>0</v>
      </c>
      <c r="O1947" s="499"/>
      <c r="P1947" s="499"/>
      <c r="Q1947" s="499"/>
    </row>
    <row r="1948" spans="1:17" ht="14.4" x14ac:dyDescent="0.3">
      <c r="A1948" s="502">
        <v>6700517</v>
      </c>
      <c r="B1948" s="503" t="s">
        <v>1030</v>
      </c>
      <c r="C1948" s="514">
        <v>0</v>
      </c>
      <c r="D1948" s="514">
        <v>0</v>
      </c>
      <c r="E1948" s="514">
        <v>0</v>
      </c>
      <c r="F1948" s="514">
        <v>0</v>
      </c>
      <c r="G1948" s="514">
        <v>0</v>
      </c>
      <c r="H1948" s="514">
        <v>0</v>
      </c>
      <c r="I1948" s="514">
        <v>0</v>
      </c>
      <c r="J1948" s="514">
        <v>0</v>
      </c>
      <c r="K1948" s="514">
        <v>0</v>
      </c>
      <c r="L1948" s="514">
        <v>0</v>
      </c>
      <c r="M1948" s="514">
        <v>0</v>
      </c>
      <c r="N1948" s="514">
        <v>0</v>
      </c>
      <c r="O1948" s="499"/>
      <c r="P1948" s="499"/>
      <c r="Q1948" s="499"/>
    </row>
    <row r="1949" spans="1:17" ht="14.4" x14ac:dyDescent="0.3">
      <c r="A1949" s="502">
        <v>6700518</v>
      </c>
      <c r="B1949" s="503" t="s">
        <v>1032</v>
      </c>
      <c r="C1949" s="514">
        <v>0</v>
      </c>
      <c r="D1949" s="514">
        <v>0</v>
      </c>
      <c r="E1949" s="514">
        <v>0</v>
      </c>
      <c r="F1949" s="514">
        <v>0</v>
      </c>
      <c r="G1949" s="514">
        <v>0</v>
      </c>
      <c r="H1949" s="514">
        <v>0</v>
      </c>
      <c r="I1949" s="514">
        <v>0</v>
      </c>
      <c r="J1949" s="514">
        <v>0</v>
      </c>
      <c r="K1949" s="514">
        <v>0</v>
      </c>
      <c r="L1949" s="514">
        <v>0</v>
      </c>
      <c r="M1949" s="514">
        <v>0</v>
      </c>
      <c r="N1949" s="514">
        <v>0</v>
      </c>
      <c r="O1949" s="499"/>
      <c r="P1949" s="499"/>
      <c r="Q1949" s="499"/>
    </row>
    <row r="1950" spans="1:17" ht="14.4" x14ac:dyDescent="0.3">
      <c r="A1950" s="502">
        <v>6700519</v>
      </c>
      <c r="B1950" s="503" t="s">
        <v>1034</v>
      </c>
      <c r="C1950" s="514">
        <v>0</v>
      </c>
      <c r="D1950" s="514">
        <v>0</v>
      </c>
      <c r="E1950" s="514">
        <v>0</v>
      </c>
      <c r="F1950" s="514">
        <v>0</v>
      </c>
      <c r="G1950" s="514">
        <v>0</v>
      </c>
      <c r="H1950" s="514">
        <v>0</v>
      </c>
      <c r="I1950" s="514">
        <v>0</v>
      </c>
      <c r="J1950" s="514">
        <v>0</v>
      </c>
      <c r="K1950" s="514">
        <v>0</v>
      </c>
      <c r="L1950" s="514">
        <v>0</v>
      </c>
      <c r="M1950" s="514">
        <v>0</v>
      </c>
      <c r="N1950" s="514">
        <v>0</v>
      </c>
      <c r="O1950" s="499"/>
      <c r="P1950" s="499"/>
      <c r="Q1950" s="499"/>
    </row>
    <row r="1951" spans="1:17" ht="14.4" x14ac:dyDescent="0.3">
      <c r="A1951" s="502">
        <v>6700520</v>
      </c>
      <c r="B1951" s="503" t="s">
        <v>3452</v>
      </c>
      <c r="C1951" s="514">
        <v>0</v>
      </c>
      <c r="D1951" s="514">
        <v>0</v>
      </c>
      <c r="E1951" s="514">
        <v>0</v>
      </c>
      <c r="F1951" s="514">
        <v>0</v>
      </c>
      <c r="G1951" s="514">
        <v>0</v>
      </c>
      <c r="H1951" s="514">
        <v>0</v>
      </c>
      <c r="I1951" s="514">
        <v>0</v>
      </c>
      <c r="J1951" s="514">
        <v>0</v>
      </c>
      <c r="K1951" s="514">
        <v>0</v>
      </c>
      <c r="L1951" s="514">
        <v>0</v>
      </c>
      <c r="M1951" s="514">
        <v>0</v>
      </c>
      <c r="N1951" s="514">
        <v>0</v>
      </c>
      <c r="O1951" s="499"/>
      <c r="P1951" s="499"/>
      <c r="Q1951" s="499"/>
    </row>
    <row r="1952" spans="1:17" ht="14.4" x14ac:dyDescent="0.3">
      <c r="A1952" s="502">
        <v>6700521</v>
      </c>
      <c r="B1952" s="503" t="s">
        <v>1036</v>
      </c>
      <c r="C1952" s="514">
        <v>0</v>
      </c>
      <c r="D1952" s="514">
        <v>0</v>
      </c>
      <c r="E1952" s="514">
        <v>0</v>
      </c>
      <c r="F1952" s="514">
        <v>0</v>
      </c>
      <c r="G1952" s="514">
        <v>0</v>
      </c>
      <c r="H1952" s="514">
        <v>0</v>
      </c>
      <c r="I1952" s="514">
        <v>0</v>
      </c>
      <c r="J1952" s="514">
        <v>0</v>
      </c>
      <c r="K1952" s="514">
        <v>0</v>
      </c>
      <c r="L1952" s="514">
        <v>0</v>
      </c>
      <c r="M1952" s="514">
        <v>0</v>
      </c>
      <c r="N1952" s="514">
        <v>0</v>
      </c>
      <c r="O1952" s="499"/>
      <c r="P1952" s="499"/>
      <c r="Q1952" s="499"/>
    </row>
    <row r="1953" spans="1:17" ht="14.4" x14ac:dyDescent="0.3">
      <c r="A1953" s="502">
        <v>6700599</v>
      </c>
      <c r="B1953" s="503" t="s">
        <v>1038</v>
      </c>
      <c r="C1953" s="514">
        <v>0</v>
      </c>
      <c r="D1953" s="514">
        <v>0</v>
      </c>
      <c r="E1953" s="514">
        <v>0</v>
      </c>
      <c r="F1953" s="514">
        <v>0</v>
      </c>
      <c r="G1953" s="514">
        <v>0</v>
      </c>
      <c r="H1953" s="514">
        <v>0</v>
      </c>
      <c r="I1953" s="514">
        <v>0</v>
      </c>
      <c r="J1953" s="514">
        <v>0</v>
      </c>
      <c r="K1953" s="514">
        <v>0</v>
      </c>
      <c r="L1953" s="514">
        <v>0</v>
      </c>
      <c r="M1953" s="514">
        <v>0</v>
      </c>
      <c r="N1953" s="514">
        <v>0</v>
      </c>
      <c r="O1953" s="499"/>
      <c r="P1953" s="499"/>
      <c r="Q1953" s="499"/>
    </row>
    <row r="1954" spans="1:17" ht="14.4" x14ac:dyDescent="0.3">
      <c r="A1954" s="502">
        <v>6709000</v>
      </c>
      <c r="B1954" s="503" t="s">
        <v>1040</v>
      </c>
      <c r="C1954" s="514">
        <v>0</v>
      </c>
      <c r="D1954" s="514">
        <v>0</v>
      </c>
      <c r="E1954" s="514">
        <v>0</v>
      </c>
      <c r="F1954" s="514">
        <v>0</v>
      </c>
      <c r="G1954" s="514">
        <v>0</v>
      </c>
      <c r="H1954" s="514">
        <v>0</v>
      </c>
      <c r="I1954" s="514">
        <v>0</v>
      </c>
      <c r="J1954" s="514">
        <v>0</v>
      </c>
      <c r="K1954" s="514">
        <v>0</v>
      </c>
      <c r="L1954" s="514">
        <v>0</v>
      </c>
      <c r="M1954" s="514">
        <v>0</v>
      </c>
      <c r="N1954" s="514">
        <v>0</v>
      </c>
      <c r="O1954" s="499"/>
      <c r="P1954" s="499"/>
      <c r="Q1954" s="499"/>
    </row>
    <row r="1955" spans="1:17" ht="14.4" x14ac:dyDescent="0.3">
      <c r="A1955" s="502">
        <v>6710020</v>
      </c>
      <c r="B1955" s="503" t="s">
        <v>1080</v>
      </c>
      <c r="C1955" s="514">
        <v>0</v>
      </c>
      <c r="D1955" s="514">
        <v>0</v>
      </c>
      <c r="E1955" s="514">
        <v>0</v>
      </c>
      <c r="F1955" s="514">
        <v>0</v>
      </c>
      <c r="G1955" s="514">
        <v>0</v>
      </c>
      <c r="H1955" s="514">
        <v>0</v>
      </c>
      <c r="I1955" s="514">
        <v>0</v>
      </c>
      <c r="J1955" s="514">
        <v>0</v>
      </c>
      <c r="K1955" s="514">
        <v>0</v>
      </c>
      <c r="L1955" s="514">
        <v>0</v>
      </c>
      <c r="M1955" s="514">
        <v>0</v>
      </c>
      <c r="N1955" s="514">
        <v>0</v>
      </c>
      <c r="O1955" s="499"/>
      <c r="P1955" s="499"/>
      <c r="Q1955" s="499"/>
    </row>
    <row r="1956" spans="1:17" ht="14.4" x14ac:dyDescent="0.3">
      <c r="A1956" s="502">
        <v>6710030</v>
      </c>
      <c r="B1956" s="503" t="s">
        <v>3453</v>
      </c>
      <c r="C1956" s="514">
        <v>0</v>
      </c>
      <c r="D1956" s="514">
        <v>0</v>
      </c>
      <c r="E1956" s="514">
        <v>0</v>
      </c>
      <c r="F1956" s="514">
        <v>0</v>
      </c>
      <c r="G1956" s="514">
        <v>0</v>
      </c>
      <c r="H1956" s="514">
        <v>0</v>
      </c>
      <c r="I1956" s="514">
        <v>0</v>
      </c>
      <c r="J1956" s="514">
        <v>0</v>
      </c>
      <c r="K1956" s="514">
        <v>0</v>
      </c>
      <c r="L1956" s="514">
        <v>0</v>
      </c>
      <c r="M1956" s="514">
        <v>0</v>
      </c>
      <c r="N1956" s="514">
        <v>0</v>
      </c>
      <c r="O1956" s="499"/>
      <c r="P1956" s="499"/>
      <c r="Q1956" s="499"/>
    </row>
    <row r="1957" spans="1:17" ht="14.4" x14ac:dyDescent="0.3">
      <c r="A1957" s="502">
        <v>6710040</v>
      </c>
      <c r="B1957" s="503" t="s">
        <v>1082</v>
      </c>
      <c r="C1957" s="514">
        <v>0</v>
      </c>
      <c r="D1957" s="514">
        <v>0</v>
      </c>
      <c r="E1957" s="514">
        <v>0</v>
      </c>
      <c r="F1957" s="514">
        <v>0</v>
      </c>
      <c r="G1957" s="514">
        <v>0</v>
      </c>
      <c r="H1957" s="514">
        <v>0</v>
      </c>
      <c r="I1957" s="514">
        <v>0</v>
      </c>
      <c r="J1957" s="514">
        <v>0</v>
      </c>
      <c r="K1957" s="514">
        <v>0</v>
      </c>
      <c r="L1957" s="514">
        <v>0</v>
      </c>
      <c r="M1957" s="514">
        <v>0</v>
      </c>
      <c r="N1957" s="514">
        <v>0</v>
      </c>
      <c r="O1957" s="499"/>
      <c r="P1957" s="499"/>
      <c r="Q1957" s="499"/>
    </row>
    <row r="1958" spans="1:17" ht="14.4" x14ac:dyDescent="0.3">
      <c r="A1958" s="502">
        <v>6710050</v>
      </c>
      <c r="B1958" s="503" t="s">
        <v>1084</v>
      </c>
      <c r="C1958" s="514">
        <v>0</v>
      </c>
      <c r="D1958" s="514">
        <v>0</v>
      </c>
      <c r="E1958" s="514">
        <v>0</v>
      </c>
      <c r="F1958" s="514">
        <v>0</v>
      </c>
      <c r="G1958" s="514">
        <v>0</v>
      </c>
      <c r="H1958" s="514">
        <v>0</v>
      </c>
      <c r="I1958" s="514">
        <v>0</v>
      </c>
      <c r="J1958" s="514">
        <v>0</v>
      </c>
      <c r="K1958" s="514">
        <v>0</v>
      </c>
      <c r="L1958" s="514">
        <v>0</v>
      </c>
      <c r="M1958" s="514">
        <v>0</v>
      </c>
      <c r="N1958" s="514">
        <v>0</v>
      </c>
      <c r="O1958" s="499"/>
      <c r="P1958" s="499"/>
      <c r="Q1958" s="499"/>
    </row>
    <row r="1959" spans="1:17" ht="14.4" x14ac:dyDescent="0.3">
      <c r="A1959" s="502">
        <v>6710060</v>
      </c>
      <c r="B1959" s="503" t="s">
        <v>1086</v>
      </c>
      <c r="C1959" s="514">
        <v>0</v>
      </c>
      <c r="D1959" s="514">
        <v>0</v>
      </c>
      <c r="E1959" s="514">
        <v>0</v>
      </c>
      <c r="F1959" s="514">
        <v>0</v>
      </c>
      <c r="G1959" s="514">
        <v>0</v>
      </c>
      <c r="H1959" s="514">
        <v>0</v>
      </c>
      <c r="I1959" s="514">
        <v>0</v>
      </c>
      <c r="J1959" s="514">
        <v>0</v>
      </c>
      <c r="K1959" s="514">
        <v>0</v>
      </c>
      <c r="L1959" s="514">
        <v>0</v>
      </c>
      <c r="M1959" s="514">
        <v>0</v>
      </c>
      <c r="N1959" s="514">
        <v>0</v>
      </c>
      <c r="O1959" s="499"/>
      <c r="P1959" s="499"/>
      <c r="Q1959" s="499"/>
    </row>
    <row r="1960" spans="1:17" ht="14.4" x14ac:dyDescent="0.3">
      <c r="A1960" s="502">
        <v>6710700</v>
      </c>
      <c r="B1960" s="503" t="s">
        <v>1088</v>
      </c>
      <c r="C1960" s="514">
        <v>0</v>
      </c>
      <c r="D1960" s="514">
        <v>0</v>
      </c>
      <c r="E1960" s="514">
        <v>0</v>
      </c>
      <c r="F1960" s="514">
        <v>0</v>
      </c>
      <c r="G1960" s="514">
        <v>0</v>
      </c>
      <c r="H1960" s="514">
        <v>0</v>
      </c>
      <c r="I1960" s="514">
        <v>0</v>
      </c>
      <c r="J1960" s="514">
        <v>0</v>
      </c>
      <c r="K1960" s="514">
        <v>0</v>
      </c>
      <c r="L1960" s="514">
        <v>0</v>
      </c>
      <c r="M1960" s="514">
        <v>0</v>
      </c>
      <c r="N1960" s="514">
        <v>0</v>
      </c>
      <c r="O1960" s="499"/>
      <c r="P1960" s="499"/>
      <c r="Q1960" s="499"/>
    </row>
    <row r="1961" spans="1:17" ht="14.4" x14ac:dyDescent="0.3">
      <c r="A1961" s="538">
        <v>6710800</v>
      </c>
      <c r="B1961" s="539" t="s">
        <v>1090</v>
      </c>
      <c r="C1961" s="540">
        <v>0</v>
      </c>
      <c r="D1961" s="540">
        <v>0</v>
      </c>
      <c r="E1961" s="540">
        <v>0</v>
      </c>
      <c r="F1961" s="540">
        <v>0</v>
      </c>
      <c r="G1961" s="540">
        <v>0</v>
      </c>
      <c r="H1961" s="540">
        <v>0</v>
      </c>
      <c r="I1961" s="540">
        <v>0</v>
      </c>
      <c r="J1961" s="540">
        <v>0</v>
      </c>
      <c r="K1961" s="540">
        <v>0</v>
      </c>
      <c r="L1961" s="540">
        <v>0</v>
      </c>
      <c r="M1961" s="540">
        <v>0</v>
      </c>
      <c r="N1961" s="540">
        <v>0</v>
      </c>
      <c r="O1961" s="499"/>
      <c r="P1961" s="499"/>
      <c r="Q1961" s="499"/>
    </row>
    <row r="1962" spans="1:17" ht="14.4" x14ac:dyDescent="0.3">
      <c r="A1962" s="502">
        <v>6719000</v>
      </c>
      <c r="B1962" s="503" t="s">
        <v>1092</v>
      </c>
      <c r="C1962" s="514">
        <v>0</v>
      </c>
      <c r="D1962" s="514">
        <v>0</v>
      </c>
      <c r="E1962" s="514">
        <v>0</v>
      </c>
      <c r="F1962" s="514">
        <v>0</v>
      </c>
      <c r="G1962" s="514">
        <v>0</v>
      </c>
      <c r="H1962" s="514">
        <v>0</v>
      </c>
      <c r="I1962" s="514">
        <v>0</v>
      </c>
      <c r="J1962" s="514">
        <v>0</v>
      </c>
      <c r="K1962" s="514">
        <v>0</v>
      </c>
      <c r="L1962" s="514">
        <v>0</v>
      </c>
      <c r="M1962" s="514">
        <v>0</v>
      </c>
      <c r="N1962" s="514">
        <v>0</v>
      </c>
      <c r="O1962" s="499"/>
      <c r="P1962" s="499"/>
      <c r="Q1962" s="499"/>
    </row>
    <row r="1963" spans="1:17" ht="14.4" x14ac:dyDescent="0.3">
      <c r="A1963" s="502">
        <v>6720010</v>
      </c>
      <c r="B1963" s="503" t="s">
        <v>1104</v>
      </c>
      <c r="C1963" s="514">
        <v>0</v>
      </c>
      <c r="D1963" s="514">
        <v>0</v>
      </c>
      <c r="E1963" s="514">
        <v>0</v>
      </c>
      <c r="F1963" s="514">
        <v>0</v>
      </c>
      <c r="G1963" s="514">
        <v>0</v>
      </c>
      <c r="H1963" s="514">
        <v>0</v>
      </c>
      <c r="I1963" s="514">
        <v>0</v>
      </c>
      <c r="J1963" s="514">
        <v>0</v>
      </c>
      <c r="K1963" s="514">
        <v>0</v>
      </c>
      <c r="L1963" s="514">
        <v>0</v>
      </c>
      <c r="M1963" s="514">
        <v>0</v>
      </c>
      <c r="N1963" s="514">
        <v>0</v>
      </c>
      <c r="O1963" s="499"/>
      <c r="P1963" s="499"/>
      <c r="Q1963" s="499"/>
    </row>
    <row r="1964" spans="1:17" ht="14.4" x14ac:dyDescent="0.3">
      <c r="A1964" s="502">
        <v>6720020</v>
      </c>
      <c r="B1964" s="503" t="s">
        <v>3454</v>
      </c>
      <c r="C1964" s="514">
        <v>0</v>
      </c>
      <c r="D1964" s="514">
        <v>0</v>
      </c>
      <c r="E1964" s="514">
        <v>0</v>
      </c>
      <c r="F1964" s="514">
        <v>0</v>
      </c>
      <c r="G1964" s="514">
        <v>0</v>
      </c>
      <c r="H1964" s="514">
        <v>0</v>
      </c>
      <c r="I1964" s="514">
        <v>0</v>
      </c>
      <c r="J1964" s="514">
        <v>0</v>
      </c>
      <c r="K1964" s="514">
        <v>0</v>
      </c>
      <c r="L1964" s="514">
        <v>0</v>
      </c>
      <c r="M1964" s="514">
        <v>0</v>
      </c>
      <c r="N1964" s="514">
        <v>0</v>
      </c>
      <c r="O1964" s="499"/>
      <c r="P1964" s="499"/>
      <c r="Q1964" s="499"/>
    </row>
    <row r="1965" spans="1:17" ht="14.4" x14ac:dyDescent="0.3">
      <c r="A1965" s="502">
        <v>6720030</v>
      </c>
      <c r="B1965" s="503" t="s">
        <v>3455</v>
      </c>
      <c r="C1965" s="514">
        <v>0</v>
      </c>
      <c r="D1965" s="514">
        <v>0</v>
      </c>
      <c r="E1965" s="514">
        <v>0</v>
      </c>
      <c r="F1965" s="514">
        <v>0</v>
      </c>
      <c r="G1965" s="514">
        <v>0</v>
      </c>
      <c r="H1965" s="514">
        <v>0</v>
      </c>
      <c r="I1965" s="514">
        <v>0</v>
      </c>
      <c r="J1965" s="514">
        <v>0</v>
      </c>
      <c r="K1965" s="514">
        <v>0</v>
      </c>
      <c r="L1965" s="514">
        <v>0</v>
      </c>
      <c r="M1965" s="514">
        <v>0</v>
      </c>
      <c r="N1965" s="514">
        <v>0</v>
      </c>
      <c r="O1965" s="499"/>
      <c r="P1965" s="499"/>
      <c r="Q1965" s="499"/>
    </row>
    <row r="1966" spans="1:17" ht="14.4" x14ac:dyDescent="0.3">
      <c r="A1966" s="502">
        <v>6720040</v>
      </c>
      <c r="B1966" s="503" t="s">
        <v>3456</v>
      </c>
      <c r="C1966" s="514">
        <v>0</v>
      </c>
      <c r="D1966" s="514">
        <v>0</v>
      </c>
      <c r="E1966" s="514">
        <v>0</v>
      </c>
      <c r="F1966" s="514">
        <v>0</v>
      </c>
      <c r="G1966" s="514">
        <v>0</v>
      </c>
      <c r="H1966" s="514">
        <v>0</v>
      </c>
      <c r="I1966" s="514">
        <v>0</v>
      </c>
      <c r="J1966" s="514">
        <v>0</v>
      </c>
      <c r="K1966" s="514">
        <v>0</v>
      </c>
      <c r="L1966" s="514">
        <v>0</v>
      </c>
      <c r="M1966" s="514">
        <v>0</v>
      </c>
      <c r="N1966" s="514">
        <v>0</v>
      </c>
      <c r="O1966" s="499"/>
      <c r="P1966" s="499"/>
      <c r="Q1966" s="499"/>
    </row>
    <row r="1967" spans="1:17" ht="14.4" x14ac:dyDescent="0.3">
      <c r="A1967" s="502">
        <v>6720050</v>
      </c>
      <c r="B1967" s="503" t="s">
        <v>1106</v>
      </c>
      <c r="C1967" s="514">
        <v>0</v>
      </c>
      <c r="D1967" s="514">
        <v>0</v>
      </c>
      <c r="E1967" s="514">
        <v>0</v>
      </c>
      <c r="F1967" s="514">
        <v>0</v>
      </c>
      <c r="G1967" s="514">
        <v>0</v>
      </c>
      <c r="H1967" s="514">
        <v>0</v>
      </c>
      <c r="I1967" s="514">
        <v>0</v>
      </c>
      <c r="J1967" s="514">
        <v>0</v>
      </c>
      <c r="K1967" s="514">
        <v>0</v>
      </c>
      <c r="L1967" s="514">
        <v>0</v>
      </c>
      <c r="M1967" s="514">
        <v>0</v>
      </c>
      <c r="N1967" s="514">
        <v>0</v>
      </c>
      <c r="O1967" s="499"/>
      <c r="P1967" s="499"/>
      <c r="Q1967" s="499"/>
    </row>
    <row r="1968" spans="1:17" ht="14.4" x14ac:dyDescent="0.3">
      <c r="A1968" s="502">
        <v>6720060</v>
      </c>
      <c r="B1968" s="503" t="s">
        <v>1112</v>
      </c>
      <c r="C1968" s="514">
        <v>0</v>
      </c>
      <c r="D1968" s="514">
        <v>0</v>
      </c>
      <c r="E1968" s="514">
        <v>0</v>
      </c>
      <c r="F1968" s="514">
        <v>0</v>
      </c>
      <c r="G1968" s="514">
        <v>0</v>
      </c>
      <c r="H1968" s="514">
        <v>0</v>
      </c>
      <c r="I1968" s="514">
        <v>0</v>
      </c>
      <c r="J1968" s="514">
        <v>0</v>
      </c>
      <c r="K1968" s="514">
        <v>0</v>
      </c>
      <c r="L1968" s="514">
        <v>0</v>
      </c>
      <c r="M1968" s="514">
        <v>0</v>
      </c>
      <c r="N1968" s="514">
        <v>0</v>
      </c>
      <c r="O1968" s="499"/>
      <c r="P1968" s="499"/>
      <c r="Q1968" s="499"/>
    </row>
    <row r="1969" spans="1:17" ht="14.4" x14ac:dyDescent="0.3">
      <c r="A1969" s="502">
        <v>6720800</v>
      </c>
      <c r="B1969" s="503" t="s">
        <v>1108</v>
      </c>
      <c r="C1969" s="514">
        <v>0</v>
      </c>
      <c r="D1969" s="514">
        <v>0</v>
      </c>
      <c r="E1969" s="514">
        <v>0</v>
      </c>
      <c r="F1969" s="514">
        <v>0</v>
      </c>
      <c r="G1969" s="514">
        <v>0</v>
      </c>
      <c r="H1969" s="514">
        <v>0</v>
      </c>
      <c r="I1969" s="514">
        <v>0</v>
      </c>
      <c r="J1969" s="514">
        <v>0</v>
      </c>
      <c r="K1969" s="514">
        <v>0</v>
      </c>
      <c r="L1969" s="514">
        <v>0</v>
      </c>
      <c r="M1969" s="514">
        <v>0</v>
      </c>
      <c r="N1969" s="514">
        <v>0</v>
      </c>
      <c r="O1969" s="499"/>
      <c r="P1969" s="499"/>
      <c r="Q1969" s="499"/>
    </row>
    <row r="1970" spans="1:17" ht="14.4" x14ac:dyDescent="0.3">
      <c r="A1970" s="502">
        <v>6729000</v>
      </c>
      <c r="B1970" s="503" t="s">
        <v>1110</v>
      </c>
      <c r="C1970" s="514">
        <v>0</v>
      </c>
      <c r="D1970" s="514">
        <v>0</v>
      </c>
      <c r="E1970" s="514">
        <v>0</v>
      </c>
      <c r="F1970" s="514">
        <v>0</v>
      </c>
      <c r="G1970" s="514">
        <v>0</v>
      </c>
      <c r="H1970" s="514">
        <v>0</v>
      </c>
      <c r="I1970" s="514">
        <v>0</v>
      </c>
      <c r="J1970" s="514">
        <v>0</v>
      </c>
      <c r="K1970" s="514">
        <v>0</v>
      </c>
      <c r="L1970" s="514">
        <v>0</v>
      </c>
      <c r="M1970" s="514">
        <v>0</v>
      </c>
      <c r="N1970" s="514">
        <v>0</v>
      </c>
      <c r="O1970" s="499"/>
      <c r="P1970" s="499"/>
      <c r="Q1970" s="499"/>
    </row>
    <row r="1971" spans="1:17" ht="14.4" x14ac:dyDescent="0.3">
      <c r="A1971" s="502">
        <v>6730010</v>
      </c>
      <c r="B1971" s="503" t="s">
        <v>1218</v>
      </c>
      <c r="C1971" s="514">
        <v>0</v>
      </c>
      <c r="D1971" s="514">
        <v>0</v>
      </c>
      <c r="E1971" s="514">
        <v>0</v>
      </c>
      <c r="F1971" s="514">
        <v>0</v>
      </c>
      <c r="G1971" s="514">
        <v>0</v>
      </c>
      <c r="H1971" s="514">
        <v>0</v>
      </c>
      <c r="I1971" s="514">
        <v>0</v>
      </c>
      <c r="J1971" s="514">
        <v>0</v>
      </c>
      <c r="K1971" s="514">
        <v>0</v>
      </c>
      <c r="L1971" s="514">
        <v>0</v>
      </c>
      <c r="M1971" s="514">
        <v>0</v>
      </c>
      <c r="N1971" s="514">
        <v>0</v>
      </c>
      <c r="O1971" s="499"/>
      <c r="P1971" s="499"/>
      <c r="Q1971" s="499"/>
    </row>
    <row r="1972" spans="1:17" ht="14.4" x14ac:dyDescent="0.3">
      <c r="A1972" s="502">
        <v>6730020</v>
      </c>
      <c r="B1972" s="503" t="s">
        <v>1220</v>
      </c>
      <c r="C1972" s="514">
        <v>0</v>
      </c>
      <c r="D1972" s="514">
        <v>0</v>
      </c>
      <c r="E1972" s="514">
        <v>0</v>
      </c>
      <c r="F1972" s="514">
        <v>0</v>
      </c>
      <c r="G1972" s="514">
        <v>0</v>
      </c>
      <c r="H1972" s="514">
        <v>0</v>
      </c>
      <c r="I1972" s="514">
        <v>0</v>
      </c>
      <c r="J1972" s="514">
        <v>0</v>
      </c>
      <c r="K1972" s="514">
        <v>0</v>
      </c>
      <c r="L1972" s="514">
        <v>0</v>
      </c>
      <c r="M1972" s="514">
        <v>0</v>
      </c>
      <c r="N1972" s="514">
        <v>0</v>
      </c>
      <c r="O1972" s="499"/>
      <c r="P1972" s="499"/>
      <c r="Q1972" s="499"/>
    </row>
    <row r="1973" spans="1:17" ht="14.4" x14ac:dyDescent="0.3">
      <c r="A1973" s="502">
        <v>6730030</v>
      </c>
      <c r="B1973" s="503" t="s">
        <v>1222</v>
      </c>
      <c r="C1973" s="514">
        <v>2512.08</v>
      </c>
      <c r="D1973" s="514">
        <v>2512.08</v>
      </c>
      <c r="E1973" s="514">
        <v>2512.08</v>
      </c>
      <c r="F1973" s="514">
        <v>2512.08</v>
      </c>
      <c r="G1973" s="514">
        <v>2512.08</v>
      </c>
      <c r="H1973" s="514">
        <v>2576.67</v>
      </c>
      <c r="I1973" s="514">
        <v>2576.67</v>
      </c>
      <c r="J1973" s="514">
        <v>2576.67</v>
      </c>
      <c r="K1973" s="514">
        <v>2576.67</v>
      </c>
      <c r="L1973" s="514">
        <v>8262.67</v>
      </c>
      <c r="M1973" s="514">
        <v>2576.67</v>
      </c>
      <c r="N1973" s="514">
        <v>2576.67</v>
      </c>
      <c r="O1973" s="499"/>
      <c r="P1973" s="499"/>
      <c r="Q1973" s="499"/>
    </row>
    <row r="1974" spans="1:17" ht="14.4" x14ac:dyDescent="0.3">
      <c r="A1974" s="502">
        <v>6730050</v>
      </c>
      <c r="B1974" s="503" t="s">
        <v>1224</v>
      </c>
      <c r="C1974" s="514">
        <v>0</v>
      </c>
      <c r="D1974" s="514">
        <v>0</v>
      </c>
      <c r="E1974" s="514">
        <v>0</v>
      </c>
      <c r="F1974" s="514">
        <v>0</v>
      </c>
      <c r="G1974" s="514">
        <v>0</v>
      </c>
      <c r="H1974" s="514">
        <v>0</v>
      </c>
      <c r="I1974" s="514">
        <v>0</v>
      </c>
      <c r="J1974" s="514">
        <v>0</v>
      </c>
      <c r="K1974" s="514">
        <v>0</v>
      </c>
      <c r="L1974" s="514">
        <v>0</v>
      </c>
      <c r="M1974" s="514">
        <v>0</v>
      </c>
      <c r="N1974" s="514">
        <v>0</v>
      </c>
      <c r="O1974" s="499"/>
      <c r="P1974" s="499"/>
      <c r="Q1974" s="499"/>
    </row>
    <row r="1975" spans="1:17" ht="14.4" x14ac:dyDescent="0.3">
      <c r="A1975" s="502">
        <v>6730060</v>
      </c>
      <c r="B1975" s="503" t="s">
        <v>1226</v>
      </c>
      <c r="C1975" s="514">
        <v>0</v>
      </c>
      <c r="D1975" s="514">
        <v>0</v>
      </c>
      <c r="E1975" s="514">
        <v>0</v>
      </c>
      <c r="F1975" s="514">
        <v>0</v>
      </c>
      <c r="G1975" s="514">
        <v>0</v>
      </c>
      <c r="H1975" s="514">
        <v>0</v>
      </c>
      <c r="I1975" s="514">
        <v>0</v>
      </c>
      <c r="J1975" s="514">
        <v>0</v>
      </c>
      <c r="K1975" s="514">
        <v>0</v>
      </c>
      <c r="L1975" s="514">
        <v>0</v>
      </c>
      <c r="M1975" s="514">
        <v>0</v>
      </c>
      <c r="N1975" s="514">
        <v>0</v>
      </c>
      <c r="O1975" s="499"/>
      <c r="P1975" s="499"/>
      <c r="Q1975" s="499"/>
    </row>
    <row r="1976" spans="1:17" ht="14.4" x14ac:dyDescent="0.3">
      <c r="A1976" s="502">
        <v>6730800</v>
      </c>
      <c r="B1976" s="503" t="s">
        <v>1228</v>
      </c>
      <c r="C1976" s="514">
        <v>0</v>
      </c>
      <c r="D1976" s="514">
        <v>0</v>
      </c>
      <c r="E1976" s="514">
        <v>0</v>
      </c>
      <c r="F1976" s="514">
        <v>0</v>
      </c>
      <c r="G1976" s="514">
        <v>0</v>
      </c>
      <c r="H1976" s="514">
        <v>0</v>
      </c>
      <c r="I1976" s="514">
        <v>0</v>
      </c>
      <c r="J1976" s="514">
        <v>0</v>
      </c>
      <c r="K1976" s="514">
        <v>0</v>
      </c>
      <c r="L1976" s="514">
        <v>0</v>
      </c>
      <c r="M1976" s="514">
        <v>0</v>
      </c>
      <c r="N1976" s="514">
        <v>0</v>
      </c>
      <c r="O1976" s="499"/>
      <c r="P1976" s="499"/>
      <c r="Q1976" s="499"/>
    </row>
    <row r="1977" spans="1:17" ht="14.4" x14ac:dyDescent="0.3">
      <c r="A1977" s="502">
        <v>6739000</v>
      </c>
      <c r="B1977" s="503" t="s">
        <v>1230</v>
      </c>
      <c r="C1977" s="514">
        <v>0</v>
      </c>
      <c r="D1977" s="514">
        <v>0</v>
      </c>
      <c r="E1977" s="514">
        <v>0</v>
      </c>
      <c r="F1977" s="514">
        <v>0</v>
      </c>
      <c r="G1977" s="514">
        <v>0</v>
      </c>
      <c r="H1977" s="514">
        <v>0</v>
      </c>
      <c r="I1977" s="514">
        <v>0</v>
      </c>
      <c r="J1977" s="514">
        <v>0</v>
      </c>
      <c r="K1977" s="514">
        <v>0</v>
      </c>
      <c r="L1977" s="514">
        <v>0</v>
      </c>
      <c r="M1977" s="514">
        <v>0</v>
      </c>
      <c r="N1977" s="514">
        <v>0</v>
      </c>
      <c r="O1977" s="499"/>
      <c r="P1977" s="499"/>
      <c r="Q1977" s="499"/>
    </row>
    <row r="1978" spans="1:17" ht="14.4" x14ac:dyDescent="0.3">
      <c r="A1978" s="502">
        <v>6780020</v>
      </c>
      <c r="B1978" s="503" t="s">
        <v>1242</v>
      </c>
      <c r="C1978" s="514">
        <v>0</v>
      </c>
      <c r="D1978" s="514">
        <v>0</v>
      </c>
      <c r="E1978" s="514">
        <v>0</v>
      </c>
      <c r="F1978" s="514">
        <v>0</v>
      </c>
      <c r="G1978" s="514">
        <v>0</v>
      </c>
      <c r="H1978" s="514">
        <v>0</v>
      </c>
      <c r="I1978" s="514">
        <v>0</v>
      </c>
      <c r="J1978" s="514">
        <v>0</v>
      </c>
      <c r="K1978" s="514">
        <v>0</v>
      </c>
      <c r="L1978" s="514">
        <v>0</v>
      </c>
      <c r="M1978" s="514">
        <v>0</v>
      </c>
      <c r="N1978" s="514">
        <v>0</v>
      </c>
      <c r="O1978" s="499"/>
      <c r="P1978" s="499"/>
      <c r="Q1978" s="499"/>
    </row>
    <row r="1979" spans="1:17" ht="14.4" x14ac:dyDescent="0.3">
      <c r="A1979" s="502">
        <v>6780030</v>
      </c>
      <c r="B1979" s="503" t="s">
        <v>1244</v>
      </c>
      <c r="C1979" s="514">
        <v>0</v>
      </c>
      <c r="D1979" s="514">
        <v>0</v>
      </c>
      <c r="E1979" s="514">
        <v>0</v>
      </c>
      <c r="F1979" s="514">
        <v>0</v>
      </c>
      <c r="G1979" s="514">
        <v>0</v>
      </c>
      <c r="H1979" s="514">
        <v>0</v>
      </c>
      <c r="I1979" s="514">
        <v>0</v>
      </c>
      <c r="J1979" s="514">
        <v>0</v>
      </c>
      <c r="K1979" s="514">
        <v>0</v>
      </c>
      <c r="L1979" s="514">
        <v>0</v>
      </c>
      <c r="M1979" s="514">
        <v>0</v>
      </c>
      <c r="N1979" s="514">
        <v>0</v>
      </c>
      <c r="O1979" s="499"/>
      <c r="P1979" s="499"/>
      <c r="Q1979" s="499"/>
    </row>
    <row r="1980" spans="1:17" ht="14.4" x14ac:dyDescent="0.3">
      <c r="A1980" s="502">
        <v>6780040</v>
      </c>
      <c r="B1980" s="503" t="s">
        <v>1246</v>
      </c>
      <c r="C1980" s="514">
        <v>0</v>
      </c>
      <c r="D1980" s="514">
        <v>0</v>
      </c>
      <c r="E1980" s="514">
        <v>0</v>
      </c>
      <c r="F1980" s="514">
        <v>0</v>
      </c>
      <c r="G1980" s="514">
        <v>0</v>
      </c>
      <c r="H1980" s="514">
        <v>0</v>
      </c>
      <c r="I1980" s="514">
        <v>0</v>
      </c>
      <c r="J1980" s="514">
        <v>0</v>
      </c>
      <c r="K1980" s="514">
        <v>0</v>
      </c>
      <c r="L1980" s="514">
        <v>0</v>
      </c>
      <c r="M1980" s="514">
        <v>0</v>
      </c>
      <c r="N1980" s="514">
        <v>0</v>
      </c>
      <c r="O1980" s="499"/>
      <c r="P1980" s="499"/>
      <c r="Q1980" s="499"/>
    </row>
    <row r="1981" spans="1:17" ht="14.4" x14ac:dyDescent="0.3">
      <c r="A1981" s="502">
        <v>6780800</v>
      </c>
      <c r="B1981" s="503" t="s">
        <v>1248</v>
      </c>
      <c r="C1981" s="514">
        <v>0</v>
      </c>
      <c r="D1981" s="514">
        <v>0</v>
      </c>
      <c r="E1981" s="514">
        <v>34000</v>
      </c>
      <c r="F1981" s="514">
        <v>34000</v>
      </c>
      <c r="G1981" s="514">
        <v>34000</v>
      </c>
      <c r="H1981" s="514">
        <v>34000</v>
      </c>
      <c r="I1981" s="514">
        <v>34000</v>
      </c>
      <c r="J1981" s="514">
        <v>34000</v>
      </c>
      <c r="K1981" s="514">
        <v>34000</v>
      </c>
      <c r="L1981" s="514">
        <v>34000</v>
      </c>
      <c r="M1981" s="514">
        <v>34000</v>
      </c>
      <c r="N1981" s="514">
        <v>34000</v>
      </c>
      <c r="O1981" s="499"/>
      <c r="P1981" s="499"/>
      <c r="Q1981" s="499"/>
    </row>
    <row r="1982" spans="1:17" ht="14.4" x14ac:dyDescent="0.3">
      <c r="A1982" s="502">
        <v>6789000</v>
      </c>
      <c r="B1982" s="503" t="s">
        <v>1250</v>
      </c>
      <c r="C1982" s="514">
        <v>26000</v>
      </c>
      <c r="D1982" s="514">
        <v>26000</v>
      </c>
      <c r="E1982" s="514">
        <v>26000</v>
      </c>
      <c r="F1982" s="514">
        <v>26000</v>
      </c>
      <c r="G1982" s="514">
        <v>26000</v>
      </c>
      <c r="H1982" s="514">
        <v>26000</v>
      </c>
      <c r="I1982" s="514">
        <v>26000</v>
      </c>
      <c r="J1982" s="514">
        <v>26000</v>
      </c>
      <c r="K1982" s="514">
        <v>26000</v>
      </c>
      <c r="L1982" s="514">
        <v>26000</v>
      </c>
      <c r="M1982" s="514">
        <v>26000</v>
      </c>
      <c r="N1982" s="514">
        <v>26000</v>
      </c>
      <c r="O1982" s="499"/>
      <c r="P1982" s="499"/>
      <c r="Q1982" s="499"/>
    </row>
    <row r="1983" spans="1:17" ht="14.4" x14ac:dyDescent="0.3">
      <c r="A1983" s="502">
        <v>6790010</v>
      </c>
      <c r="B1983" s="503" t="s">
        <v>1262</v>
      </c>
      <c r="C1983" s="514">
        <v>0</v>
      </c>
      <c r="D1983" s="514">
        <v>0</v>
      </c>
      <c r="E1983" s="514">
        <v>0</v>
      </c>
      <c r="F1983" s="514">
        <v>0</v>
      </c>
      <c r="G1983" s="514">
        <v>0</v>
      </c>
      <c r="H1983" s="514">
        <v>0</v>
      </c>
      <c r="I1983" s="514">
        <v>0</v>
      </c>
      <c r="J1983" s="514">
        <v>0</v>
      </c>
      <c r="K1983" s="514">
        <v>0</v>
      </c>
      <c r="L1983" s="514">
        <v>0</v>
      </c>
      <c r="M1983" s="514">
        <v>0</v>
      </c>
      <c r="N1983" s="514">
        <v>0</v>
      </c>
      <c r="O1983" s="499"/>
      <c r="P1983" s="499"/>
      <c r="Q1983" s="499"/>
    </row>
    <row r="1984" spans="1:17" ht="14.4" x14ac:dyDescent="0.3">
      <c r="A1984" s="502">
        <v>6790020</v>
      </c>
      <c r="B1984" s="503" t="s">
        <v>1264</v>
      </c>
      <c r="C1984" s="514">
        <v>0</v>
      </c>
      <c r="D1984" s="514">
        <v>0</v>
      </c>
      <c r="E1984" s="514">
        <v>0</v>
      </c>
      <c r="F1984" s="514">
        <v>0</v>
      </c>
      <c r="G1984" s="514">
        <v>0</v>
      </c>
      <c r="H1984" s="514">
        <v>0</v>
      </c>
      <c r="I1984" s="514">
        <v>0</v>
      </c>
      <c r="J1984" s="514">
        <v>0</v>
      </c>
      <c r="K1984" s="514">
        <v>0</v>
      </c>
      <c r="L1984" s="514">
        <v>0</v>
      </c>
      <c r="M1984" s="514">
        <v>0</v>
      </c>
      <c r="N1984" s="514">
        <v>0</v>
      </c>
      <c r="O1984" s="499"/>
      <c r="P1984" s="499"/>
      <c r="Q1984" s="499"/>
    </row>
    <row r="1985" spans="1:17" ht="14.4" x14ac:dyDescent="0.3">
      <c r="A1985" s="502">
        <v>6790030</v>
      </c>
      <c r="B1985" s="503" t="s">
        <v>1266</v>
      </c>
      <c r="C1985" s="514">
        <v>0</v>
      </c>
      <c r="D1985" s="514">
        <v>0</v>
      </c>
      <c r="E1985" s="514">
        <v>0</v>
      </c>
      <c r="F1985" s="514">
        <v>0</v>
      </c>
      <c r="G1985" s="514">
        <v>0</v>
      </c>
      <c r="H1985" s="514">
        <v>0</v>
      </c>
      <c r="I1985" s="514">
        <v>0</v>
      </c>
      <c r="J1985" s="514">
        <v>0</v>
      </c>
      <c r="K1985" s="514">
        <v>0</v>
      </c>
      <c r="L1985" s="514">
        <v>0</v>
      </c>
      <c r="M1985" s="514">
        <v>0</v>
      </c>
      <c r="N1985" s="514">
        <v>0</v>
      </c>
      <c r="O1985" s="499"/>
      <c r="P1985" s="499"/>
      <c r="Q1985" s="499"/>
    </row>
    <row r="1986" spans="1:17" ht="14.4" x14ac:dyDescent="0.3">
      <c r="A1986" s="502">
        <v>6790040</v>
      </c>
      <c r="B1986" s="503" t="s">
        <v>1268</v>
      </c>
      <c r="C1986" s="514">
        <v>0</v>
      </c>
      <c r="D1986" s="514">
        <v>0</v>
      </c>
      <c r="E1986" s="514">
        <v>0</v>
      </c>
      <c r="F1986" s="514">
        <v>0</v>
      </c>
      <c r="G1986" s="514">
        <v>0</v>
      </c>
      <c r="H1986" s="514">
        <v>0</v>
      </c>
      <c r="I1986" s="514">
        <v>0</v>
      </c>
      <c r="J1986" s="514">
        <v>0</v>
      </c>
      <c r="K1986" s="514">
        <v>0</v>
      </c>
      <c r="L1986" s="514">
        <v>0</v>
      </c>
      <c r="M1986" s="514">
        <v>0</v>
      </c>
      <c r="N1986" s="514">
        <v>0</v>
      </c>
      <c r="O1986" s="499"/>
      <c r="P1986" s="499"/>
      <c r="Q1986" s="499"/>
    </row>
    <row r="1987" spans="1:17" ht="14.4" x14ac:dyDescent="0.3">
      <c r="A1987" s="502">
        <v>6790050</v>
      </c>
      <c r="B1987" s="503" t="s">
        <v>1270</v>
      </c>
      <c r="C1987" s="514">
        <v>0</v>
      </c>
      <c r="D1987" s="514">
        <v>0</v>
      </c>
      <c r="E1987" s="514">
        <v>0</v>
      </c>
      <c r="F1987" s="514">
        <v>0</v>
      </c>
      <c r="G1987" s="514">
        <v>0</v>
      </c>
      <c r="H1987" s="514">
        <v>0</v>
      </c>
      <c r="I1987" s="514">
        <v>0</v>
      </c>
      <c r="J1987" s="514">
        <v>0</v>
      </c>
      <c r="K1987" s="514">
        <v>0</v>
      </c>
      <c r="L1987" s="514">
        <v>0</v>
      </c>
      <c r="M1987" s="514">
        <v>0</v>
      </c>
      <c r="N1987" s="514">
        <v>0</v>
      </c>
      <c r="O1987" s="499"/>
      <c r="P1987" s="499"/>
      <c r="Q1987" s="499"/>
    </row>
    <row r="1988" spans="1:17" ht="14.4" x14ac:dyDescent="0.3">
      <c r="A1988" s="502">
        <v>6790055</v>
      </c>
      <c r="B1988" s="503" t="s">
        <v>1272</v>
      </c>
      <c r="C1988" s="514">
        <v>0</v>
      </c>
      <c r="D1988" s="514">
        <v>0</v>
      </c>
      <c r="E1988" s="514">
        <v>0</v>
      </c>
      <c r="F1988" s="514">
        <v>0</v>
      </c>
      <c r="G1988" s="514">
        <v>0</v>
      </c>
      <c r="H1988" s="514">
        <v>0</v>
      </c>
      <c r="I1988" s="514">
        <v>0</v>
      </c>
      <c r="J1988" s="514">
        <v>0</v>
      </c>
      <c r="K1988" s="514">
        <v>0</v>
      </c>
      <c r="L1988" s="514">
        <v>0</v>
      </c>
      <c r="M1988" s="514">
        <v>0</v>
      </c>
      <c r="N1988" s="514">
        <v>0</v>
      </c>
      <c r="O1988" s="499"/>
      <c r="P1988" s="499"/>
      <c r="Q1988" s="499"/>
    </row>
    <row r="1989" spans="1:17" ht="14.4" x14ac:dyDescent="0.3">
      <c r="A1989" s="502">
        <v>6790060</v>
      </c>
      <c r="B1989" s="503" t="s">
        <v>1274</v>
      </c>
      <c r="C1989" s="514">
        <v>0</v>
      </c>
      <c r="D1989" s="514">
        <v>0</v>
      </c>
      <c r="E1989" s="514">
        <v>0</v>
      </c>
      <c r="F1989" s="514">
        <v>0</v>
      </c>
      <c r="G1989" s="514">
        <v>0</v>
      </c>
      <c r="H1989" s="514">
        <v>0</v>
      </c>
      <c r="I1989" s="514">
        <v>0</v>
      </c>
      <c r="J1989" s="514">
        <v>0</v>
      </c>
      <c r="K1989" s="514">
        <v>0</v>
      </c>
      <c r="L1989" s="514">
        <v>0</v>
      </c>
      <c r="M1989" s="514">
        <v>0</v>
      </c>
      <c r="N1989" s="514">
        <v>0</v>
      </c>
      <c r="O1989" s="499"/>
      <c r="P1989" s="499"/>
      <c r="Q1989" s="499"/>
    </row>
    <row r="1990" spans="1:17" ht="14.4" x14ac:dyDescent="0.3">
      <c r="A1990" s="502">
        <v>6790090</v>
      </c>
      <c r="B1990" s="503" t="s">
        <v>1276</v>
      </c>
      <c r="C1990" s="514">
        <v>0</v>
      </c>
      <c r="D1990" s="514">
        <v>0</v>
      </c>
      <c r="E1990" s="514">
        <v>0</v>
      </c>
      <c r="F1990" s="514">
        <v>0</v>
      </c>
      <c r="G1990" s="514">
        <v>0</v>
      </c>
      <c r="H1990" s="514">
        <v>0</v>
      </c>
      <c r="I1990" s="514">
        <v>0</v>
      </c>
      <c r="J1990" s="514">
        <v>0</v>
      </c>
      <c r="K1990" s="514">
        <v>0</v>
      </c>
      <c r="L1990" s="514">
        <v>0</v>
      </c>
      <c r="M1990" s="514">
        <v>0</v>
      </c>
      <c r="N1990" s="514">
        <v>0</v>
      </c>
      <c r="O1990" s="499"/>
      <c r="P1990" s="499"/>
      <c r="Q1990" s="499"/>
    </row>
    <row r="1991" spans="1:17" ht="14.4" x14ac:dyDescent="0.3">
      <c r="A1991" s="502">
        <v>6790091</v>
      </c>
      <c r="B1991" s="503" t="s">
        <v>1278</v>
      </c>
      <c r="C1991" s="514">
        <v>0</v>
      </c>
      <c r="D1991" s="514">
        <v>0</v>
      </c>
      <c r="E1991" s="514">
        <v>0</v>
      </c>
      <c r="F1991" s="514">
        <v>0</v>
      </c>
      <c r="G1991" s="514">
        <v>0</v>
      </c>
      <c r="H1991" s="514">
        <v>0</v>
      </c>
      <c r="I1991" s="514">
        <v>0</v>
      </c>
      <c r="J1991" s="514">
        <v>0</v>
      </c>
      <c r="K1991" s="514">
        <v>0</v>
      </c>
      <c r="L1991" s="514">
        <v>0</v>
      </c>
      <c r="M1991" s="514">
        <v>0</v>
      </c>
      <c r="N1991" s="514">
        <v>0</v>
      </c>
      <c r="O1991" s="499"/>
      <c r="P1991" s="499"/>
      <c r="Q1991" s="499"/>
    </row>
    <row r="1992" spans="1:17" ht="14.4" x14ac:dyDescent="0.3">
      <c r="A1992" s="502">
        <v>6790092</v>
      </c>
      <c r="B1992" s="503" t="s">
        <v>1280</v>
      </c>
      <c r="C1992" s="514">
        <v>0</v>
      </c>
      <c r="D1992" s="514">
        <v>0</v>
      </c>
      <c r="E1992" s="514">
        <v>0</v>
      </c>
      <c r="F1992" s="514">
        <v>0</v>
      </c>
      <c r="G1992" s="514">
        <v>0</v>
      </c>
      <c r="H1992" s="514">
        <v>0</v>
      </c>
      <c r="I1992" s="514">
        <v>0</v>
      </c>
      <c r="J1992" s="514">
        <v>0</v>
      </c>
      <c r="K1992" s="514">
        <v>0</v>
      </c>
      <c r="L1992" s="514">
        <v>0</v>
      </c>
      <c r="M1992" s="514">
        <v>0</v>
      </c>
      <c r="N1992" s="514">
        <v>0</v>
      </c>
      <c r="O1992" s="499"/>
      <c r="P1992" s="499"/>
      <c r="Q1992" s="499"/>
    </row>
    <row r="1993" spans="1:17" ht="14.4" x14ac:dyDescent="0.3">
      <c r="A1993" s="502">
        <v>6790099</v>
      </c>
      <c r="B1993" s="503" t="s">
        <v>3457</v>
      </c>
      <c r="C1993" s="514">
        <v>0</v>
      </c>
      <c r="D1993" s="514">
        <v>0</v>
      </c>
      <c r="E1993" s="514">
        <v>0</v>
      </c>
      <c r="F1993" s="514">
        <v>0</v>
      </c>
      <c r="G1993" s="514">
        <v>0</v>
      </c>
      <c r="H1993" s="514">
        <v>0</v>
      </c>
      <c r="I1993" s="514">
        <v>0</v>
      </c>
      <c r="J1993" s="514">
        <v>0</v>
      </c>
      <c r="K1993" s="514">
        <v>0</v>
      </c>
      <c r="L1993" s="514">
        <v>0</v>
      </c>
      <c r="M1993" s="514">
        <v>0</v>
      </c>
      <c r="N1993" s="514">
        <v>0</v>
      </c>
      <c r="O1993" s="499"/>
      <c r="P1993" s="499"/>
      <c r="Q1993" s="499"/>
    </row>
    <row r="1994" spans="1:17" ht="14.4" x14ac:dyDescent="0.3">
      <c r="A1994" s="502">
        <v>6790100</v>
      </c>
      <c r="B1994" s="503" t="s">
        <v>3458</v>
      </c>
      <c r="C1994" s="514">
        <v>0</v>
      </c>
      <c r="D1994" s="514">
        <v>0</v>
      </c>
      <c r="E1994" s="514">
        <v>0</v>
      </c>
      <c r="F1994" s="514">
        <v>0</v>
      </c>
      <c r="G1994" s="514">
        <v>0</v>
      </c>
      <c r="H1994" s="514">
        <v>0</v>
      </c>
      <c r="I1994" s="514">
        <v>0</v>
      </c>
      <c r="J1994" s="514">
        <v>0</v>
      </c>
      <c r="K1994" s="514">
        <v>0</v>
      </c>
      <c r="L1994" s="514">
        <v>0</v>
      </c>
      <c r="M1994" s="514">
        <v>0</v>
      </c>
      <c r="N1994" s="514">
        <v>0</v>
      </c>
      <c r="O1994" s="499"/>
      <c r="P1994" s="499"/>
      <c r="Q1994" s="499"/>
    </row>
    <row r="1995" spans="1:17" ht="14.4" x14ac:dyDescent="0.3">
      <c r="A1995" s="502">
        <v>6790101</v>
      </c>
      <c r="B1995" s="503" t="s">
        <v>1282</v>
      </c>
      <c r="C1995" s="514">
        <v>0</v>
      </c>
      <c r="D1995" s="514">
        <v>0</v>
      </c>
      <c r="E1995" s="514">
        <v>0</v>
      </c>
      <c r="F1995" s="514">
        <v>0</v>
      </c>
      <c r="G1995" s="514">
        <v>0</v>
      </c>
      <c r="H1995" s="514">
        <v>0</v>
      </c>
      <c r="I1995" s="514">
        <v>0</v>
      </c>
      <c r="J1995" s="514">
        <v>0</v>
      </c>
      <c r="K1995" s="514">
        <v>0</v>
      </c>
      <c r="L1995" s="514">
        <v>0</v>
      </c>
      <c r="M1995" s="514">
        <v>0</v>
      </c>
      <c r="N1995" s="514">
        <v>0</v>
      </c>
      <c r="O1995" s="499"/>
      <c r="P1995" s="499"/>
      <c r="Q1995" s="499"/>
    </row>
    <row r="1996" spans="1:17" ht="14.4" x14ac:dyDescent="0.3">
      <c r="A1996" s="502">
        <v>6790102</v>
      </c>
      <c r="B1996" s="503" t="s">
        <v>1284</v>
      </c>
      <c r="C1996" s="514">
        <v>0</v>
      </c>
      <c r="D1996" s="514">
        <v>0</v>
      </c>
      <c r="E1996" s="514">
        <v>0</v>
      </c>
      <c r="F1996" s="514">
        <v>0</v>
      </c>
      <c r="G1996" s="514">
        <v>0</v>
      </c>
      <c r="H1996" s="514">
        <v>0</v>
      </c>
      <c r="I1996" s="514">
        <v>0</v>
      </c>
      <c r="J1996" s="514">
        <v>0</v>
      </c>
      <c r="K1996" s="514">
        <v>0</v>
      </c>
      <c r="L1996" s="514">
        <v>0</v>
      </c>
      <c r="M1996" s="514">
        <v>0</v>
      </c>
      <c r="N1996" s="514">
        <v>0</v>
      </c>
      <c r="O1996" s="499"/>
      <c r="P1996" s="499"/>
      <c r="Q1996" s="499"/>
    </row>
    <row r="1997" spans="1:17" ht="14.4" x14ac:dyDescent="0.3">
      <c r="A1997" s="502">
        <v>6790103</v>
      </c>
      <c r="B1997" s="503" t="s">
        <v>1286</v>
      </c>
      <c r="C1997" s="514">
        <v>0</v>
      </c>
      <c r="D1997" s="514">
        <v>0</v>
      </c>
      <c r="E1997" s="514">
        <v>0</v>
      </c>
      <c r="F1997" s="514">
        <v>0</v>
      </c>
      <c r="G1997" s="514">
        <v>0</v>
      </c>
      <c r="H1997" s="514">
        <v>0</v>
      </c>
      <c r="I1997" s="514">
        <v>0</v>
      </c>
      <c r="J1997" s="514">
        <v>0</v>
      </c>
      <c r="K1997" s="514">
        <v>0</v>
      </c>
      <c r="L1997" s="514">
        <v>0</v>
      </c>
      <c r="M1997" s="514">
        <v>0</v>
      </c>
      <c r="N1997" s="514">
        <v>0</v>
      </c>
      <c r="O1997" s="499"/>
      <c r="P1997" s="499"/>
      <c r="Q1997" s="499"/>
    </row>
    <row r="1998" spans="1:17" ht="14.4" x14ac:dyDescent="0.3">
      <c r="A1998" s="502">
        <v>6790104</v>
      </c>
      <c r="B1998" s="503" t="s">
        <v>3459</v>
      </c>
      <c r="C1998" s="514">
        <v>0</v>
      </c>
      <c r="D1998" s="514">
        <v>0</v>
      </c>
      <c r="E1998" s="514">
        <v>0</v>
      </c>
      <c r="F1998" s="514">
        <v>0</v>
      </c>
      <c r="G1998" s="514">
        <v>0</v>
      </c>
      <c r="H1998" s="514">
        <v>0</v>
      </c>
      <c r="I1998" s="514">
        <v>0</v>
      </c>
      <c r="J1998" s="514">
        <v>0</v>
      </c>
      <c r="K1998" s="514">
        <v>0</v>
      </c>
      <c r="L1998" s="514">
        <v>0</v>
      </c>
      <c r="M1998" s="514">
        <v>0</v>
      </c>
      <c r="N1998" s="514">
        <v>0</v>
      </c>
      <c r="O1998" s="499"/>
      <c r="P1998" s="499"/>
      <c r="Q1998" s="499"/>
    </row>
    <row r="1999" spans="1:17" ht="14.4" x14ac:dyDescent="0.3">
      <c r="A1999" s="502">
        <v>6790105</v>
      </c>
      <c r="B1999" s="503" t="s">
        <v>3460</v>
      </c>
      <c r="C1999" s="514">
        <v>0</v>
      </c>
      <c r="D1999" s="514">
        <v>0</v>
      </c>
      <c r="E1999" s="514">
        <v>0</v>
      </c>
      <c r="F1999" s="514">
        <v>0</v>
      </c>
      <c r="G1999" s="514">
        <v>0</v>
      </c>
      <c r="H1999" s="514">
        <v>0</v>
      </c>
      <c r="I1999" s="514">
        <v>0</v>
      </c>
      <c r="J1999" s="514">
        <v>0</v>
      </c>
      <c r="K1999" s="514">
        <v>0</v>
      </c>
      <c r="L1999" s="514">
        <v>0</v>
      </c>
      <c r="M1999" s="514">
        <v>0</v>
      </c>
      <c r="N1999" s="514">
        <v>0</v>
      </c>
      <c r="O1999" s="499"/>
      <c r="P1999" s="499"/>
      <c r="Q1999" s="499"/>
    </row>
    <row r="2000" spans="1:17" ht="14.4" x14ac:dyDescent="0.3">
      <c r="A2000" s="502">
        <v>6790198</v>
      </c>
      <c r="B2000" s="503" t="s">
        <v>3461</v>
      </c>
      <c r="C2000" s="514">
        <v>0</v>
      </c>
      <c r="D2000" s="514">
        <v>0</v>
      </c>
      <c r="E2000" s="514">
        <v>0</v>
      </c>
      <c r="F2000" s="514">
        <v>0</v>
      </c>
      <c r="G2000" s="514">
        <v>0</v>
      </c>
      <c r="H2000" s="514">
        <v>0</v>
      </c>
      <c r="I2000" s="514">
        <v>0</v>
      </c>
      <c r="J2000" s="514">
        <v>0</v>
      </c>
      <c r="K2000" s="514">
        <v>0</v>
      </c>
      <c r="L2000" s="514">
        <v>0</v>
      </c>
      <c r="M2000" s="514">
        <v>0</v>
      </c>
      <c r="N2000" s="514">
        <v>0</v>
      </c>
      <c r="O2000" s="499"/>
      <c r="P2000" s="499"/>
      <c r="Q2000" s="499"/>
    </row>
    <row r="2001" spans="1:17" ht="14.4" x14ac:dyDescent="0.3">
      <c r="A2001" s="502">
        <v>6790199</v>
      </c>
      <c r="B2001" s="503" t="s">
        <v>1288</v>
      </c>
      <c r="C2001" s="514">
        <v>0</v>
      </c>
      <c r="D2001" s="514">
        <v>0</v>
      </c>
      <c r="E2001" s="514">
        <v>0</v>
      </c>
      <c r="F2001" s="514">
        <v>0</v>
      </c>
      <c r="G2001" s="514">
        <v>0</v>
      </c>
      <c r="H2001" s="514">
        <v>0</v>
      </c>
      <c r="I2001" s="514">
        <v>0</v>
      </c>
      <c r="J2001" s="514">
        <v>0</v>
      </c>
      <c r="K2001" s="514">
        <v>0</v>
      </c>
      <c r="L2001" s="514">
        <v>0</v>
      </c>
      <c r="M2001" s="514">
        <v>0</v>
      </c>
      <c r="N2001" s="514">
        <v>0</v>
      </c>
      <c r="O2001" s="499"/>
      <c r="P2001" s="499"/>
      <c r="Q2001" s="499"/>
    </row>
    <row r="2002" spans="1:17" ht="14.4" x14ac:dyDescent="0.3">
      <c r="A2002" s="502">
        <v>6790200</v>
      </c>
      <c r="B2002" s="503" t="s">
        <v>1290</v>
      </c>
      <c r="C2002" s="514">
        <v>0</v>
      </c>
      <c r="D2002" s="514">
        <v>0</v>
      </c>
      <c r="E2002" s="514">
        <v>0</v>
      </c>
      <c r="F2002" s="514">
        <v>0</v>
      </c>
      <c r="G2002" s="514">
        <v>0</v>
      </c>
      <c r="H2002" s="514">
        <v>0</v>
      </c>
      <c r="I2002" s="514">
        <v>0</v>
      </c>
      <c r="J2002" s="514">
        <v>0</v>
      </c>
      <c r="K2002" s="514">
        <v>0</v>
      </c>
      <c r="L2002" s="514">
        <v>0</v>
      </c>
      <c r="M2002" s="514">
        <v>0</v>
      </c>
      <c r="N2002" s="514">
        <v>0</v>
      </c>
      <c r="O2002" s="499"/>
      <c r="P2002" s="499"/>
      <c r="Q2002" s="499"/>
    </row>
    <row r="2003" spans="1:17" ht="14.4" x14ac:dyDescent="0.3">
      <c r="A2003" s="502">
        <v>6790210</v>
      </c>
      <c r="B2003" s="503" t="s">
        <v>1292</v>
      </c>
      <c r="C2003" s="514">
        <v>0</v>
      </c>
      <c r="D2003" s="514">
        <v>0</v>
      </c>
      <c r="E2003" s="514">
        <v>0</v>
      </c>
      <c r="F2003" s="514">
        <v>0</v>
      </c>
      <c r="G2003" s="514">
        <v>0</v>
      </c>
      <c r="H2003" s="514">
        <v>0</v>
      </c>
      <c r="I2003" s="514">
        <v>0</v>
      </c>
      <c r="J2003" s="514">
        <v>0</v>
      </c>
      <c r="K2003" s="514">
        <v>0</v>
      </c>
      <c r="L2003" s="514">
        <v>0</v>
      </c>
      <c r="M2003" s="514">
        <v>0</v>
      </c>
      <c r="N2003" s="514">
        <v>0</v>
      </c>
      <c r="O2003" s="499"/>
      <c r="P2003" s="499"/>
      <c r="Q2003" s="499"/>
    </row>
    <row r="2004" spans="1:17" ht="14.4" x14ac:dyDescent="0.3">
      <c r="A2004" s="502">
        <v>6790220</v>
      </c>
      <c r="B2004" s="503" t="s">
        <v>1294</v>
      </c>
      <c r="C2004" s="514">
        <v>0</v>
      </c>
      <c r="D2004" s="514">
        <v>0</v>
      </c>
      <c r="E2004" s="514">
        <v>0</v>
      </c>
      <c r="F2004" s="514">
        <v>0</v>
      </c>
      <c r="G2004" s="514">
        <v>0</v>
      </c>
      <c r="H2004" s="514">
        <v>0</v>
      </c>
      <c r="I2004" s="514">
        <v>0</v>
      </c>
      <c r="J2004" s="514">
        <v>0</v>
      </c>
      <c r="K2004" s="514">
        <v>0</v>
      </c>
      <c r="L2004" s="514">
        <v>0</v>
      </c>
      <c r="M2004" s="514">
        <v>0</v>
      </c>
      <c r="N2004" s="514">
        <v>0</v>
      </c>
      <c r="O2004" s="499"/>
      <c r="P2004" s="499"/>
      <c r="Q2004" s="499"/>
    </row>
    <row r="2005" spans="1:17" ht="14.4" x14ac:dyDescent="0.3">
      <c r="A2005" s="502">
        <v>6790230</v>
      </c>
      <c r="B2005" s="503" t="s">
        <v>1296</v>
      </c>
      <c r="C2005" s="514">
        <v>0</v>
      </c>
      <c r="D2005" s="514">
        <v>0</v>
      </c>
      <c r="E2005" s="514">
        <v>0</v>
      </c>
      <c r="F2005" s="514">
        <v>0</v>
      </c>
      <c r="G2005" s="514">
        <v>0</v>
      </c>
      <c r="H2005" s="514">
        <v>0</v>
      </c>
      <c r="I2005" s="514">
        <v>0</v>
      </c>
      <c r="J2005" s="514">
        <v>0</v>
      </c>
      <c r="K2005" s="514">
        <v>0</v>
      </c>
      <c r="L2005" s="514">
        <v>0</v>
      </c>
      <c r="M2005" s="514">
        <v>0</v>
      </c>
      <c r="N2005" s="514">
        <v>0</v>
      </c>
      <c r="O2005" s="499"/>
      <c r="P2005" s="499"/>
      <c r="Q2005" s="499"/>
    </row>
    <row r="2006" spans="1:17" ht="14.4" x14ac:dyDescent="0.3">
      <c r="A2006" s="502">
        <v>6790250</v>
      </c>
      <c r="B2006" s="503" t="s">
        <v>1298</v>
      </c>
      <c r="C2006" s="514">
        <v>0</v>
      </c>
      <c r="D2006" s="514">
        <v>0</v>
      </c>
      <c r="E2006" s="514">
        <v>0</v>
      </c>
      <c r="F2006" s="514">
        <v>0</v>
      </c>
      <c r="G2006" s="514">
        <v>0</v>
      </c>
      <c r="H2006" s="514">
        <v>0</v>
      </c>
      <c r="I2006" s="514">
        <v>0</v>
      </c>
      <c r="J2006" s="514">
        <v>0</v>
      </c>
      <c r="K2006" s="514">
        <v>0</v>
      </c>
      <c r="L2006" s="514">
        <v>0</v>
      </c>
      <c r="M2006" s="514">
        <v>0</v>
      </c>
      <c r="N2006" s="514">
        <v>0</v>
      </c>
      <c r="O2006" s="499"/>
      <c r="P2006" s="499"/>
      <c r="Q2006" s="499"/>
    </row>
    <row r="2007" spans="1:17" ht="14.4" x14ac:dyDescent="0.3">
      <c r="A2007" s="502">
        <v>6790255</v>
      </c>
      <c r="B2007" s="503" t="s">
        <v>1300</v>
      </c>
      <c r="C2007" s="514">
        <v>0</v>
      </c>
      <c r="D2007" s="514">
        <v>0</v>
      </c>
      <c r="E2007" s="514">
        <v>0</v>
      </c>
      <c r="F2007" s="514">
        <v>0</v>
      </c>
      <c r="G2007" s="514">
        <v>0</v>
      </c>
      <c r="H2007" s="514">
        <v>0</v>
      </c>
      <c r="I2007" s="514">
        <v>0</v>
      </c>
      <c r="J2007" s="514">
        <v>0</v>
      </c>
      <c r="K2007" s="514">
        <v>0</v>
      </c>
      <c r="L2007" s="514">
        <v>0</v>
      </c>
      <c r="M2007" s="514">
        <v>0</v>
      </c>
      <c r="N2007" s="514">
        <v>0</v>
      </c>
      <c r="O2007" s="499"/>
      <c r="P2007" s="499"/>
      <c r="Q2007" s="499"/>
    </row>
    <row r="2008" spans="1:17" ht="14.4" x14ac:dyDescent="0.3">
      <c r="A2008" s="502">
        <v>6790260</v>
      </c>
      <c r="B2008" s="503" t="s">
        <v>1302</v>
      </c>
      <c r="C2008" s="514">
        <v>0</v>
      </c>
      <c r="D2008" s="514">
        <v>0</v>
      </c>
      <c r="E2008" s="514">
        <v>0</v>
      </c>
      <c r="F2008" s="514">
        <v>0</v>
      </c>
      <c r="G2008" s="514">
        <v>0</v>
      </c>
      <c r="H2008" s="514">
        <v>0</v>
      </c>
      <c r="I2008" s="514">
        <v>0</v>
      </c>
      <c r="J2008" s="514">
        <v>0</v>
      </c>
      <c r="K2008" s="514">
        <v>0</v>
      </c>
      <c r="L2008" s="514">
        <v>0</v>
      </c>
      <c r="M2008" s="514">
        <v>0</v>
      </c>
      <c r="N2008" s="514">
        <v>0</v>
      </c>
      <c r="O2008" s="499"/>
      <c r="P2008" s="499"/>
      <c r="Q2008" s="499"/>
    </row>
    <row r="2009" spans="1:17" ht="14.4" x14ac:dyDescent="0.3">
      <c r="A2009" s="502">
        <v>6790270</v>
      </c>
      <c r="B2009" s="503" t="s">
        <v>3462</v>
      </c>
      <c r="C2009" s="514">
        <v>0</v>
      </c>
      <c r="D2009" s="514">
        <v>0</v>
      </c>
      <c r="E2009" s="514">
        <v>0</v>
      </c>
      <c r="F2009" s="514">
        <v>0</v>
      </c>
      <c r="G2009" s="514">
        <v>0</v>
      </c>
      <c r="H2009" s="514">
        <v>0</v>
      </c>
      <c r="I2009" s="514">
        <v>0</v>
      </c>
      <c r="J2009" s="514">
        <v>0</v>
      </c>
      <c r="K2009" s="514">
        <v>0</v>
      </c>
      <c r="L2009" s="514">
        <v>0</v>
      </c>
      <c r="M2009" s="514">
        <v>0</v>
      </c>
      <c r="N2009" s="514">
        <v>0</v>
      </c>
      <c r="O2009" s="499"/>
      <c r="P2009" s="499"/>
      <c r="Q2009" s="499"/>
    </row>
    <row r="2010" spans="1:17" ht="14.4" x14ac:dyDescent="0.3">
      <c r="A2010" s="502">
        <v>6790280</v>
      </c>
      <c r="B2010" s="503" t="s">
        <v>3463</v>
      </c>
      <c r="C2010" s="514">
        <v>0</v>
      </c>
      <c r="D2010" s="514">
        <v>0</v>
      </c>
      <c r="E2010" s="514">
        <v>0</v>
      </c>
      <c r="F2010" s="514">
        <v>0</v>
      </c>
      <c r="G2010" s="514">
        <v>0</v>
      </c>
      <c r="H2010" s="514">
        <v>0</v>
      </c>
      <c r="I2010" s="514">
        <v>0</v>
      </c>
      <c r="J2010" s="514">
        <v>0</v>
      </c>
      <c r="K2010" s="514">
        <v>0</v>
      </c>
      <c r="L2010" s="514">
        <v>0</v>
      </c>
      <c r="M2010" s="514">
        <v>0</v>
      </c>
      <c r="N2010" s="514">
        <v>0</v>
      </c>
      <c r="O2010" s="499"/>
      <c r="P2010" s="499"/>
      <c r="Q2010" s="499"/>
    </row>
    <row r="2011" spans="1:17" ht="14.4" x14ac:dyDescent="0.3">
      <c r="A2011" s="502">
        <v>6790281</v>
      </c>
      <c r="B2011" s="503" t="s">
        <v>3464</v>
      </c>
      <c r="C2011" s="514">
        <v>0</v>
      </c>
      <c r="D2011" s="514">
        <v>0</v>
      </c>
      <c r="E2011" s="514">
        <v>0</v>
      </c>
      <c r="F2011" s="514">
        <v>0</v>
      </c>
      <c r="G2011" s="514">
        <v>0</v>
      </c>
      <c r="H2011" s="514">
        <v>0</v>
      </c>
      <c r="I2011" s="514">
        <v>0</v>
      </c>
      <c r="J2011" s="514">
        <v>0</v>
      </c>
      <c r="K2011" s="514">
        <v>0</v>
      </c>
      <c r="L2011" s="514">
        <v>0</v>
      </c>
      <c r="M2011" s="514">
        <v>0</v>
      </c>
      <c r="N2011" s="514">
        <v>0</v>
      </c>
      <c r="O2011" s="499"/>
      <c r="P2011" s="499"/>
      <c r="Q2011" s="499"/>
    </row>
    <row r="2012" spans="1:17" ht="14.4" x14ac:dyDescent="0.3">
      <c r="A2012" s="502">
        <v>6790300</v>
      </c>
      <c r="B2012" s="503" t="s">
        <v>1304</v>
      </c>
      <c r="C2012" s="514">
        <v>0</v>
      </c>
      <c r="D2012" s="514">
        <v>0</v>
      </c>
      <c r="E2012" s="514">
        <v>0</v>
      </c>
      <c r="F2012" s="514">
        <v>0</v>
      </c>
      <c r="G2012" s="514">
        <v>0</v>
      </c>
      <c r="H2012" s="514">
        <v>0</v>
      </c>
      <c r="I2012" s="514">
        <v>0</v>
      </c>
      <c r="J2012" s="514">
        <v>0</v>
      </c>
      <c r="K2012" s="514">
        <v>0</v>
      </c>
      <c r="L2012" s="514">
        <v>0</v>
      </c>
      <c r="M2012" s="514">
        <v>0</v>
      </c>
      <c r="N2012" s="514">
        <v>0</v>
      </c>
      <c r="O2012" s="499"/>
      <c r="P2012" s="499"/>
      <c r="Q2012" s="499"/>
    </row>
    <row r="2013" spans="1:17" ht="14.4" x14ac:dyDescent="0.3">
      <c r="A2013" s="502">
        <v>6790305</v>
      </c>
      <c r="B2013" s="503" t="s">
        <v>1306</v>
      </c>
      <c r="C2013" s="514">
        <v>0</v>
      </c>
      <c r="D2013" s="514">
        <v>0</v>
      </c>
      <c r="E2013" s="514">
        <v>0</v>
      </c>
      <c r="F2013" s="514">
        <v>0</v>
      </c>
      <c r="G2013" s="514">
        <v>0</v>
      </c>
      <c r="H2013" s="514">
        <v>0</v>
      </c>
      <c r="I2013" s="514">
        <v>0</v>
      </c>
      <c r="J2013" s="514">
        <v>0</v>
      </c>
      <c r="K2013" s="514">
        <v>0</v>
      </c>
      <c r="L2013" s="514">
        <v>0</v>
      </c>
      <c r="M2013" s="514">
        <v>0</v>
      </c>
      <c r="N2013" s="514">
        <v>0</v>
      </c>
      <c r="O2013" s="499"/>
      <c r="P2013" s="499"/>
      <c r="Q2013" s="499"/>
    </row>
    <row r="2014" spans="1:17" ht="14.4" x14ac:dyDescent="0.3">
      <c r="A2014" s="502">
        <v>6790310</v>
      </c>
      <c r="B2014" s="503" t="s">
        <v>1308</v>
      </c>
      <c r="C2014" s="514">
        <v>0</v>
      </c>
      <c r="D2014" s="514">
        <v>0</v>
      </c>
      <c r="E2014" s="514">
        <v>0</v>
      </c>
      <c r="F2014" s="514">
        <v>0</v>
      </c>
      <c r="G2014" s="514">
        <v>0</v>
      </c>
      <c r="H2014" s="514">
        <v>0</v>
      </c>
      <c r="I2014" s="514">
        <v>0</v>
      </c>
      <c r="J2014" s="514">
        <v>0</v>
      </c>
      <c r="K2014" s="514">
        <v>0</v>
      </c>
      <c r="L2014" s="514">
        <v>0</v>
      </c>
      <c r="M2014" s="514">
        <v>0</v>
      </c>
      <c r="N2014" s="514">
        <v>0</v>
      </c>
      <c r="O2014" s="499"/>
      <c r="P2014" s="499"/>
      <c r="Q2014" s="499"/>
    </row>
    <row r="2015" spans="1:17" ht="14.4" x14ac:dyDescent="0.3">
      <c r="A2015" s="502">
        <v>6790315</v>
      </c>
      <c r="B2015" s="503" t="s">
        <v>3465</v>
      </c>
      <c r="C2015" s="514">
        <v>0</v>
      </c>
      <c r="D2015" s="514">
        <v>0</v>
      </c>
      <c r="E2015" s="514">
        <v>0</v>
      </c>
      <c r="F2015" s="514">
        <v>0</v>
      </c>
      <c r="G2015" s="514">
        <v>0</v>
      </c>
      <c r="H2015" s="514">
        <v>0</v>
      </c>
      <c r="I2015" s="514">
        <v>0</v>
      </c>
      <c r="J2015" s="514">
        <v>0</v>
      </c>
      <c r="K2015" s="514">
        <v>0</v>
      </c>
      <c r="L2015" s="514">
        <v>0</v>
      </c>
      <c r="M2015" s="514">
        <v>0</v>
      </c>
      <c r="N2015" s="514">
        <v>0</v>
      </c>
      <c r="O2015" s="499"/>
      <c r="P2015" s="499"/>
      <c r="Q2015" s="499"/>
    </row>
    <row r="2016" spans="1:17" ht="14.4" x14ac:dyDescent="0.3">
      <c r="A2016" s="502">
        <v>6790320</v>
      </c>
      <c r="B2016" s="503" t="s">
        <v>1310</v>
      </c>
      <c r="C2016" s="514">
        <v>0</v>
      </c>
      <c r="D2016" s="514">
        <v>0</v>
      </c>
      <c r="E2016" s="514">
        <v>0</v>
      </c>
      <c r="F2016" s="514">
        <v>0</v>
      </c>
      <c r="G2016" s="514">
        <v>0</v>
      </c>
      <c r="H2016" s="514">
        <v>0</v>
      </c>
      <c r="I2016" s="514">
        <v>0</v>
      </c>
      <c r="J2016" s="514">
        <v>0</v>
      </c>
      <c r="K2016" s="514">
        <v>0</v>
      </c>
      <c r="L2016" s="514">
        <v>0</v>
      </c>
      <c r="M2016" s="514">
        <v>0</v>
      </c>
      <c r="N2016" s="514">
        <v>0</v>
      </c>
      <c r="O2016" s="499"/>
      <c r="P2016" s="499"/>
      <c r="Q2016" s="499"/>
    </row>
    <row r="2017" spans="1:17" ht="14.4" x14ac:dyDescent="0.3">
      <c r="A2017" s="502">
        <v>6790321</v>
      </c>
      <c r="B2017" s="503" t="s">
        <v>1312</v>
      </c>
      <c r="C2017" s="514">
        <v>0</v>
      </c>
      <c r="D2017" s="514">
        <v>0</v>
      </c>
      <c r="E2017" s="514">
        <v>0</v>
      </c>
      <c r="F2017" s="514">
        <v>0</v>
      </c>
      <c r="G2017" s="514">
        <v>0</v>
      </c>
      <c r="H2017" s="514">
        <v>0</v>
      </c>
      <c r="I2017" s="514">
        <v>0</v>
      </c>
      <c r="J2017" s="514">
        <v>0</v>
      </c>
      <c r="K2017" s="514">
        <v>0</v>
      </c>
      <c r="L2017" s="514">
        <v>0</v>
      </c>
      <c r="M2017" s="514">
        <v>0</v>
      </c>
      <c r="N2017" s="514">
        <v>0</v>
      </c>
      <c r="O2017" s="499"/>
      <c r="P2017" s="499"/>
      <c r="Q2017" s="499"/>
    </row>
    <row r="2018" spans="1:17" ht="14.4" x14ac:dyDescent="0.3">
      <c r="A2018" s="502">
        <v>6790322</v>
      </c>
      <c r="B2018" s="503" t="s">
        <v>3466</v>
      </c>
      <c r="C2018" s="514">
        <v>0</v>
      </c>
      <c r="D2018" s="514">
        <v>0</v>
      </c>
      <c r="E2018" s="514">
        <v>0</v>
      </c>
      <c r="F2018" s="514">
        <v>0</v>
      </c>
      <c r="G2018" s="514">
        <v>0</v>
      </c>
      <c r="H2018" s="514">
        <v>0</v>
      </c>
      <c r="I2018" s="514">
        <v>0</v>
      </c>
      <c r="J2018" s="514">
        <v>0</v>
      </c>
      <c r="K2018" s="514">
        <v>0</v>
      </c>
      <c r="L2018" s="514">
        <v>0</v>
      </c>
      <c r="M2018" s="514">
        <v>0</v>
      </c>
      <c r="N2018" s="514">
        <v>0</v>
      </c>
      <c r="O2018" s="499"/>
      <c r="P2018" s="499"/>
      <c r="Q2018" s="499"/>
    </row>
    <row r="2019" spans="1:17" ht="14.4" x14ac:dyDescent="0.3">
      <c r="A2019" s="502">
        <v>6790323</v>
      </c>
      <c r="B2019" s="503" t="s">
        <v>3467</v>
      </c>
      <c r="C2019" s="514">
        <v>0</v>
      </c>
      <c r="D2019" s="514">
        <v>0</v>
      </c>
      <c r="E2019" s="514">
        <v>0</v>
      </c>
      <c r="F2019" s="514">
        <v>0</v>
      </c>
      <c r="G2019" s="514">
        <v>0</v>
      </c>
      <c r="H2019" s="514">
        <v>0</v>
      </c>
      <c r="I2019" s="514">
        <v>0</v>
      </c>
      <c r="J2019" s="514">
        <v>0</v>
      </c>
      <c r="K2019" s="514">
        <v>0</v>
      </c>
      <c r="L2019" s="514">
        <v>0</v>
      </c>
      <c r="M2019" s="514">
        <v>0</v>
      </c>
      <c r="N2019" s="514">
        <v>0</v>
      </c>
      <c r="O2019" s="499"/>
      <c r="P2019" s="499"/>
      <c r="Q2019" s="499"/>
    </row>
    <row r="2020" spans="1:17" ht="14.4" x14ac:dyDescent="0.3">
      <c r="A2020" s="502">
        <v>6790324</v>
      </c>
      <c r="B2020" s="503" t="s">
        <v>1314</v>
      </c>
      <c r="C2020" s="514">
        <v>0</v>
      </c>
      <c r="D2020" s="514">
        <v>0</v>
      </c>
      <c r="E2020" s="514">
        <v>0</v>
      </c>
      <c r="F2020" s="514">
        <v>0</v>
      </c>
      <c r="G2020" s="514">
        <v>0</v>
      </c>
      <c r="H2020" s="514">
        <v>0</v>
      </c>
      <c r="I2020" s="514">
        <v>0</v>
      </c>
      <c r="J2020" s="514">
        <v>0</v>
      </c>
      <c r="K2020" s="514">
        <v>0</v>
      </c>
      <c r="L2020" s="514">
        <v>0</v>
      </c>
      <c r="M2020" s="514">
        <v>0</v>
      </c>
      <c r="N2020" s="514">
        <v>0</v>
      </c>
      <c r="O2020" s="499"/>
      <c r="P2020" s="499"/>
      <c r="Q2020" s="499"/>
    </row>
    <row r="2021" spans="1:17" ht="14.4" x14ac:dyDescent="0.3">
      <c r="A2021" s="502">
        <v>6790325</v>
      </c>
      <c r="B2021" s="503" t="s">
        <v>3468</v>
      </c>
      <c r="C2021" s="514">
        <v>0</v>
      </c>
      <c r="D2021" s="514">
        <v>0</v>
      </c>
      <c r="E2021" s="514">
        <v>0</v>
      </c>
      <c r="F2021" s="514">
        <v>0</v>
      </c>
      <c r="G2021" s="514">
        <v>0</v>
      </c>
      <c r="H2021" s="514">
        <v>0</v>
      </c>
      <c r="I2021" s="514">
        <v>0</v>
      </c>
      <c r="J2021" s="514">
        <v>0</v>
      </c>
      <c r="K2021" s="514">
        <v>0</v>
      </c>
      <c r="L2021" s="514">
        <v>0</v>
      </c>
      <c r="M2021" s="514">
        <v>0</v>
      </c>
      <c r="N2021" s="514">
        <v>0</v>
      </c>
      <c r="O2021" s="499"/>
      <c r="P2021" s="499"/>
      <c r="Q2021" s="499"/>
    </row>
    <row r="2022" spans="1:17" ht="14.4" x14ac:dyDescent="0.3">
      <c r="A2022" s="502">
        <v>6790326</v>
      </c>
      <c r="B2022" s="503" t="s">
        <v>3469</v>
      </c>
      <c r="C2022" s="514">
        <v>0</v>
      </c>
      <c r="D2022" s="514">
        <v>0</v>
      </c>
      <c r="E2022" s="514">
        <v>0</v>
      </c>
      <c r="F2022" s="514">
        <v>0</v>
      </c>
      <c r="G2022" s="514">
        <v>0</v>
      </c>
      <c r="H2022" s="514">
        <v>0</v>
      </c>
      <c r="I2022" s="514">
        <v>0</v>
      </c>
      <c r="J2022" s="514">
        <v>0</v>
      </c>
      <c r="K2022" s="514">
        <v>0</v>
      </c>
      <c r="L2022" s="514">
        <v>0</v>
      </c>
      <c r="M2022" s="514">
        <v>0</v>
      </c>
      <c r="N2022" s="514">
        <v>0</v>
      </c>
      <c r="O2022" s="499"/>
      <c r="P2022" s="499"/>
      <c r="Q2022" s="499"/>
    </row>
    <row r="2023" spans="1:17" ht="14.4" x14ac:dyDescent="0.3">
      <c r="A2023" s="502">
        <v>6790327</v>
      </c>
      <c r="B2023" s="503" t="s">
        <v>3470</v>
      </c>
      <c r="C2023" s="514">
        <v>0</v>
      </c>
      <c r="D2023" s="514">
        <v>0</v>
      </c>
      <c r="E2023" s="514">
        <v>0</v>
      </c>
      <c r="F2023" s="514">
        <v>0</v>
      </c>
      <c r="G2023" s="514">
        <v>0</v>
      </c>
      <c r="H2023" s="514">
        <v>0</v>
      </c>
      <c r="I2023" s="514">
        <v>0</v>
      </c>
      <c r="J2023" s="514">
        <v>0</v>
      </c>
      <c r="K2023" s="514">
        <v>0</v>
      </c>
      <c r="L2023" s="514">
        <v>0</v>
      </c>
      <c r="M2023" s="514">
        <v>0</v>
      </c>
      <c r="N2023" s="514">
        <v>0</v>
      </c>
      <c r="O2023" s="499"/>
      <c r="P2023" s="499"/>
      <c r="Q2023" s="499"/>
    </row>
    <row r="2024" spans="1:17" ht="14.4" x14ac:dyDescent="0.3">
      <c r="A2024" s="502">
        <v>6790700</v>
      </c>
      <c r="B2024" s="503" t="s">
        <v>1316</v>
      </c>
      <c r="C2024" s="514">
        <v>0</v>
      </c>
      <c r="D2024" s="514">
        <v>0</v>
      </c>
      <c r="E2024" s="514">
        <v>0</v>
      </c>
      <c r="F2024" s="514">
        <v>0</v>
      </c>
      <c r="G2024" s="514">
        <v>0</v>
      </c>
      <c r="H2024" s="514">
        <v>0</v>
      </c>
      <c r="I2024" s="514">
        <v>0</v>
      </c>
      <c r="J2024" s="514">
        <v>0</v>
      </c>
      <c r="K2024" s="514">
        <v>0</v>
      </c>
      <c r="L2024" s="514">
        <v>0</v>
      </c>
      <c r="M2024" s="514">
        <v>0</v>
      </c>
      <c r="N2024" s="514">
        <v>0</v>
      </c>
      <c r="O2024" s="499"/>
      <c r="P2024" s="499"/>
      <c r="Q2024" s="499"/>
    </row>
    <row r="2025" spans="1:17" ht="14.4" x14ac:dyDescent="0.3">
      <c r="A2025" s="502">
        <v>6790701</v>
      </c>
      <c r="B2025" s="503" t="s">
        <v>3471</v>
      </c>
      <c r="C2025" s="514">
        <v>0</v>
      </c>
      <c r="D2025" s="514">
        <v>0</v>
      </c>
      <c r="E2025" s="514">
        <v>0</v>
      </c>
      <c r="F2025" s="514">
        <v>0</v>
      </c>
      <c r="G2025" s="514">
        <v>0</v>
      </c>
      <c r="H2025" s="514">
        <v>0</v>
      </c>
      <c r="I2025" s="514">
        <v>0</v>
      </c>
      <c r="J2025" s="514">
        <v>0</v>
      </c>
      <c r="K2025" s="514">
        <v>0</v>
      </c>
      <c r="L2025" s="514">
        <v>0</v>
      </c>
      <c r="M2025" s="514">
        <v>0</v>
      </c>
      <c r="N2025" s="514">
        <v>0</v>
      </c>
      <c r="O2025" s="499"/>
      <c r="P2025" s="499"/>
      <c r="Q2025" s="499"/>
    </row>
    <row r="2026" spans="1:17" ht="14.4" x14ac:dyDescent="0.3">
      <c r="A2026" s="502">
        <v>6790702</v>
      </c>
      <c r="B2026" s="503" t="s">
        <v>3147</v>
      </c>
      <c r="C2026" s="514">
        <v>0</v>
      </c>
      <c r="D2026" s="514">
        <v>0</v>
      </c>
      <c r="E2026" s="514">
        <v>0</v>
      </c>
      <c r="F2026" s="514">
        <v>0</v>
      </c>
      <c r="G2026" s="514">
        <v>0</v>
      </c>
      <c r="H2026" s="514">
        <v>0</v>
      </c>
      <c r="I2026" s="514">
        <v>0</v>
      </c>
      <c r="J2026" s="514">
        <v>0</v>
      </c>
      <c r="K2026" s="514">
        <v>0</v>
      </c>
      <c r="L2026" s="514">
        <v>0</v>
      </c>
      <c r="M2026" s="514">
        <v>0</v>
      </c>
      <c r="N2026" s="514">
        <v>0</v>
      </c>
      <c r="O2026" s="499"/>
      <c r="P2026" s="499"/>
      <c r="Q2026" s="499"/>
    </row>
    <row r="2027" spans="1:17" ht="14.4" x14ac:dyDescent="0.3">
      <c r="A2027" s="502">
        <v>6790703</v>
      </c>
      <c r="B2027" s="503" t="s">
        <v>1318</v>
      </c>
      <c r="C2027" s="514">
        <v>0</v>
      </c>
      <c r="D2027" s="514">
        <v>0</v>
      </c>
      <c r="E2027" s="514">
        <v>0</v>
      </c>
      <c r="F2027" s="514">
        <v>0</v>
      </c>
      <c r="G2027" s="514">
        <v>0</v>
      </c>
      <c r="H2027" s="514">
        <v>0</v>
      </c>
      <c r="I2027" s="514">
        <v>0</v>
      </c>
      <c r="J2027" s="514">
        <v>0</v>
      </c>
      <c r="K2027" s="514">
        <v>0</v>
      </c>
      <c r="L2027" s="514">
        <v>0</v>
      </c>
      <c r="M2027" s="514">
        <v>0</v>
      </c>
      <c r="N2027" s="514">
        <v>0</v>
      </c>
      <c r="O2027" s="499"/>
      <c r="P2027" s="499"/>
      <c r="Q2027" s="499"/>
    </row>
    <row r="2028" spans="1:17" ht="14.4" x14ac:dyDescent="0.3">
      <c r="A2028" s="502">
        <v>6790704</v>
      </c>
      <c r="B2028" s="503" t="s">
        <v>1320</v>
      </c>
      <c r="C2028" s="514">
        <v>0</v>
      </c>
      <c r="D2028" s="514">
        <v>0</v>
      </c>
      <c r="E2028" s="514">
        <v>0</v>
      </c>
      <c r="F2028" s="514">
        <v>0</v>
      </c>
      <c r="G2028" s="514">
        <v>0</v>
      </c>
      <c r="H2028" s="514">
        <v>0</v>
      </c>
      <c r="I2028" s="514">
        <v>0</v>
      </c>
      <c r="J2028" s="514">
        <v>0</v>
      </c>
      <c r="K2028" s="514">
        <v>0</v>
      </c>
      <c r="L2028" s="514">
        <v>0</v>
      </c>
      <c r="M2028" s="514">
        <v>0</v>
      </c>
      <c r="N2028" s="514">
        <v>0</v>
      </c>
      <c r="O2028" s="499"/>
      <c r="P2028" s="499"/>
      <c r="Q2028" s="499"/>
    </row>
    <row r="2029" spans="1:17" ht="14.4" x14ac:dyDescent="0.3">
      <c r="A2029" s="502">
        <v>6790705</v>
      </c>
      <c r="B2029" s="503" t="s">
        <v>1322</v>
      </c>
      <c r="C2029" s="514">
        <v>0</v>
      </c>
      <c r="D2029" s="514">
        <v>0</v>
      </c>
      <c r="E2029" s="514">
        <v>0</v>
      </c>
      <c r="F2029" s="514">
        <v>0</v>
      </c>
      <c r="G2029" s="514">
        <v>0</v>
      </c>
      <c r="H2029" s="514">
        <v>0</v>
      </c>
      <c r="I2029" s="514">
        <v>0</v>
      </c>
      <c r="J2029" s="514">
        <v>0</v>
      </c>
      <c r="K2029" s="514">
        <v>0</v>
      </c>
      <c r="L2029" s="514">
        <v>0</v>
      </c>
      <c r="M2029" s="514">
        <v>0</v>
      </c>
      <c r="N2029" s="514">
        <v>0</v>
      </c>
      <c r="O2029" s="499"/>
      <c r="P2029" s="499"/>
      <c r="Q2029" s="499"/>
    </row>
    <row r="2030" spans="1:17" ht="14.4" x14ac:dyDescent="0.3">
      <c r="A2030" s="502">
        <v>6790706</v>
      </c>
      <c r="B2030" s="503" t="s">
        <v>3472</v>
      </c>
      <c r="C2030" s="514">
        <v>0</v>
      </c>
      <c r="D2030" s="514">
        <v>0</v>
      </c>
      <c r="E2030" s="514">
        <v>0</v>
      </c>
      <c r="F2030" s="514">
        <v>0</v>
      </c>
      <c r="G2030" s="514">
        <v>0</v>
      </c>
      <c r="H2030" s="514">
        <v>0</v>
      </c>
      <c r="I2030" s="514">
        <v>0</v>
      </c>
      <c r="J2030" s="514">
        <v>0</v>
      </c>
      <c r="K2030" s="514">
        <v>0</v>
      </c>
      <c r="L2030" s="514">
        <v>0</v>
      </c>
      <c r="M2030" s="514">
        <v>0</v>
      </c>
      <c r="N2030" s="514">
        <v>0</v>
      </c>
      <c r="O2030" s="499"/>
      <c r="P2030" s="499"/>
      <c r="Q2030" s="499"/>
    </row>
    <row r="2031" spans="1:17" ht="14.4" x14ac:dyDescent="0.3">
      <c r="A2031" s="504">
        <v>6790707</v>
      </c>
      <c r="B2031" s="505" t="s">
        <v>3473</v>
      </c>
      <c r="C2031" s="514">
        <v>0</v>
      </c>
      <c r="D2031" s="514">
        <v>0</v>
      </c>
      <c r="E2031" s="514">
        <v>0</v>
      </c>
      <c r="F2031" s="514">
        <v>0</v>
      </c>
      <c r="G2031" s="514">
        <v>0</v>
      </c>
      <c r="H2031" s="514">
        <v>0</v>
      </c>
      <c r="I2031" s="514">
        <v>0</v>
      </c>
      <c r="J2031" s="514">
        <v>0</v>
      </c>
      <c r="K2031" s="514">
        <v>0</v>
      </c>
      <c r="L2031" s="514">
        <v>0</v>
      </c>
      <c r="M2031" s="514">
        <v>0</v>
      </c>
      <c r="N2031" s="514">
        <v>0</v>
      </c>
      <c r="O2031" s="499"/>
      <c r="P2031" s="499"/>
      <c r="Q2031" s="499"/>
    </row>
    <row r="2032" spans="1:17" ht="14.4" x14ac:dyDescent="0.3">
      <c r="A2032" s="502">
        <v>6790708</v>
      </c>
      <c r="B2032" s="503" t="s">
        <v>3474</v>
      </c>
      <c r="C2032" s="514">
        <v>0</v>
      </c>
      <c r="D2032" s="514">
        <v>0</v>
      </c>
      <c r="E2032" s="514">
        <v>0</v>
      </c>
      <c r="F2032" s="514">
        <v>0</v>
      </c>
      <c r="G2032" s="514">
        <v>0</v>
      </c>
      <c r="H2032" s="514">
        <v>0</v>
      </c>
      <c r="I2032" s="514">
        <v>0</v>
      </c>
      <c r="J2032" s="514">
        <v>0</v>
      </c>
      <c r="K2032" s="514">
        <v>0</v>
      </c>
      <c r="L2032" s="514">
        <v>0</v>
      </c>
      <c r="M2032" s="514">
        <v>0</v>
      </c>
      <c r="N2032" s="514">
        <v>0</v>
      </c>
      <c r="O2032" s="499"/>
      <c r="P2032" s="499"/>
      <c r="Q2032" s="499"/>
    </row>
    <row r="2033" spans="1:17" ht="14.4" x14ac:dyDescent="0.3">
      <c r="A2033" s="504">
        <v>6790709</v>
      </c>
      <c r="B2033" s="505" t="s">
        <v>3475</v>
      </c>
      <c r="C2033" s="515">
        <v>0</v>
      </c>
      <c r="D2033" s="515">
        <v>0</v>
      </c>
      <c r="E2033" s="515">
        <v>0</v>
      </c>
      <c r="F2033" s="515">
        <v>0</v>
      </c>
      <c r="G2033" s="515">
        <v>0</v>
      </c>
      <c r="H2033" s="515">
        <v>0</v>
      </c>
      <c r="I2033" s="514">
        <v>0</v>
      </c>
      <c r="J2033" s="514">
        <v>0</v>
      </c>
      <c r="K2033" s="514">
        <v>0</v>
      </c>
      <c r="L2033" s="514">
        <v>0</v>
      </c>
      <c r="M2033" s="514">
        <v>0</v>
      </c>
      <c r="N2033" s="514">
        <v>0</v>
      </c>
      <c r="O2033" s="499"/>
      <c r="P2033" s="499"/>
      <c r="Q2033" s="499"/>
    </row>
    <row r="2034" spans="1:17" ht="14.4" x14ac:dyDescent="0.3">
      <c r="A2034" s="502">
        <v>6790800</v>
      </c>
      <c r="B2034" s="503" t="s">
        <v>1324</v>
      </c>
      <c r="C2034" s="514">
        <v>33333.33</v>
      </c>
      <c r="D2034" s="514">
        <v>33333.33</v>
      </c>
      <c r="E2034" s="514">
        <v>33333.33</v>
      </c>
      <c r="F2034" s="514">
        <v>33333.33</v>
      </c>
      <c r="G2034" s="514">
        <v>33333.33</v>
      </c>
      <c r="H2034" s="514">
        <v>33333.33</v>
      </c>
      <c r="I2034" s="514">
        <v>33333.33</v>
      </c>
      <c r="J2034" s="514">
        <v>33333.33</v>
      </c>
      <c r="K2034" s="514">
        <v>33333.33</v>
      </c>
      <c r="L2034" s="514">
        <v>33333.33</v>
      </c>
      <c r="M2034" s="514">
        <v>33333.33</v>
      </c>
      <c r="N2034" s="514">
        <v>33333.33</v>
      </c>
      <c r="O2034" s="499"/>
      <c r="P2034" s="499"/>
      <c r="Q2034" s="499"/>
    </row>
    <row r="2035" spans="1:17" ht="14.4" x14ac:dyDescent="0.3">
      <c r="A2035" s="502">
        <v>6790801</v>
      </c>
      <c r="B2035" s="503" t="s">
        <v>3476</v>
      </c>
      <c r="C2035" s="514">
        <v>0</v>
      </c>
      <c r="D2035" s="514">
        <v>0</v>
      </c>
      <c r="E2035" s="514">
        <v>0</v>
      </c>
      <c r="F2035" s="514">
        <v>0</v>
      </c>
      <c r="G2035" s="514">
        <v>0</v>
      </c>
      <c r="H2035" s="514">
        <v>0</v>
      </c>
      <c r="I2035" s="514">
        <v>0</v>
      </c>
      <c r="J2035" s="514">
        <v>0</v>
      </c>
      <c r="K2035" s="514">
        <v>0</v>
      </c>
      <c r="L2035" s="514">
        <v>0</v>
      </c>
      <c r="M2035" s="514">
        <v>0</v>
      </c>
      <c r="N2035" s="514">
        <v>0</v>
      </c>
      <c r="O2035" s="499"/>
      <c r="P2035" s="499"/>
      <c r="Q2035" s="499"/>
    </row>
    <row r="2036" spans="1:17" ht="14.4" x14ac:dyDescent="0.3">
      <c r="A2036" s="502">
        <v>6790802</v>
      </c>
      <c r="B2036" s="503" t="s">
        <v>3477</v>
      </c>
      <c r="C2036" s="514">
        <v>0</v>
      </c>
      <c r="D2036" s="514">
        <v>0</v>
      </c>
      <c r="E2036" s="514">
        <v>0</v>
      </c>
      <c r="F2036" s="514">
        <v>0</v>
      </c>
      <c r="G2036" s="514">
        <v>0</v>
      </c>
      <c r="H2036" s="514">
        <v>0</v>
      </c>
      <c r="I2036" s="514">
        <v>0</v>
      </c>
      <c r="J2036" s="514">
        <v>0</v>
      </c>
      <c r="K2036" s="514">
        <v>0</v>
      </c>
      <c r="L2036" s="514">
        <v>0</v>
      </c>
      <c r="M2036" s="514">
        <v>0</v>
      </c>
      <c r="N2036" s="514">
        <v>0</v>
      </c>
      <c r="O2036" s="499"/>
      <c r="P2036" s="499"/>
      <c r="Q2036" s="499"/>
    </row>
    <row r="2037" spans="1:17" ht="14.4" x14ac:dyDescent="0.3">
      <c r="A2037" s="502">
        <v>6791000</v>
      </c>
      <c r="B2037" s="503" t="s">
        <v>1326</v>
      </c>
      <c r="C2037" s="514">
        <v>0</v>
      </c>
      <c r="D2037" s="514">
        <v>0</v>
      </c>
      <c r="E2037" s="514">
        <v>0</v>
      </c>
      <c r="F2037" s="514">
        <v>0</v>
      </c>
      <c r="G2037" s="514">
        <v>0</v>
      </c>
      <c r="H2037" s="514">
        <v>0</v>
      </c>
      <c r="I2037" s="514">
        <v>0</v>
      </c>
      <c r="J2037" s="514">
        <v>0</v>
      </c>
      <c r="K2037" s="514">
        <v>0</v>
      </c>
      <c r="L2037" s="514">
        <v>0</v>
      </c>
      <c r="M2037" s="514">
        <v>0</v>
      </c>
      <c r="N2037" s="514">
        <v>0</v>
      </c>
      <c r="O2037" s="499"/>
      <c r="P2037" s="499"/>
      <c r="Q2037" s="499"/>
    </row>
    <row r="2038" spans="1:17" ht="14.4" x14ac:dyDescent="0.3">
      <c r="A2038" s="502">
        <v>6791040</v>
      </c>
      <c r="B2038" s="503" t="s">
        <v>3478</v>
      </c>
      <c r="C2038" s="514">
        <v>0</v>
      </c>
      <c r="D2038" s="514">
        <v>0</v>
      </c>
      <c r="E2038" s="514">
        <v>0</v>
      </c>
      <c r="F2038" s="514">
        <v>0</v>
      </c>
      <c r="G2038" s="514">
        <v>0</v>
      </c>
      <c r="H2038" s="514">
        <v>0</v>
      </c>
      <c r="I2038" s="514">
        <v>0</v>
      </c>
      <c r="J2038" s="514">
        <v>0</v>
      </c>
      <c r="K2038" s="514">
        <v>0</v>
      </c>
      <c r="L2038" s="514">
        <v>0</v>
      </c>
      <c r="M2038" s="514">
        <v>0</v>
      </c>
      <c r="N2038" s="514">
        <v>0</v>
      </c>
      <c r="O2038" s="499"/>
      <c r="P2038" s="499"/>
      <c r="Q2038" s="499"/>
    </row>
    <row r="2039" spans="1:17" ht="14.4" x14ac:dyDescent="0.3">
      <c r="A2039" s="502">
        <v>6791050</v>
      </c>
      <c r="B2039" s="503" t="s">
        <v>3479</v>
      </c>
      <c r="C2039" s="514">
        <v>0</v>
      </c>
      <c r="D2039" s="514">
        <v>0</v>
      </c>
      <c r="E2039" s="514">
        <v>0</v>
      </c>
      <c r="F2039" s="514">
        <v>0</v>
      </c>
      <c r="G2039" s="514">
        <v>0</v>
      </c>
      <c r="H2039" s="514">
        <v>0</v>
      </c>
      <c r="I2039" s="514">
        <v>0</v>
      </c>
      <c r="J2039" s="514">
        <v>0</v>
      </c>
      <c r="K2039" s="514">
        <v>0</v>
      </c>
      <c r="L2039" s="514">
        <v>0</v>
      </c>
      <c r="M2039" s="514">
        <v>0</v>
      </c>
      <c r="N2039" s="514">
        <v>0</v>
      </c>
      <c r="O2039" s="499"/>
      <c r="P2039" s="499"/>
      <c r="Q2039" s="499"/>
    </row>
    <row r="2040" spans="1:17" ht="14.4" x14ac:dyDescent="0.3">
      <c r="A2040" s="502">
        <v>6791090</v>
      </c>
      <c r="B2040" s="503" t="s">
        <v>3480</v>
      </c>
      <c r="C2040" s="514">
        <v>0</v>
      </c>
      <c r="D2040" s="514">
        <v>0</v>
      </c>
      <c r="E2040" s="514">
        <v>0</v>
      </c>
      <c r="F2040" s="514">
        <v>0</v>
      </c>
      <c r="G2040" s="514">
        <v>0</v>
      </c>
      <c r="H2040" s="514">
        <v>0</v>
      </c>
      <c r="I2040" s="514">
        <v>0</v>
      </c>
      <c r="J2040" s="514">
        <v>0</v>
      </c>
      <c r="K2040" s="514">
        <v>0</v>
      </c>
      <c r="L2040" s="514">
        <v>0</v>
      </c>
      <c r="M2040" s="514">
        <v>0</v>
      </c>
      <c r="N2040" s="514">
        <v>0</v>
      </c>
      <c r="O2040" s="499"/>
      <c r="P2040" s="499"/>
      <c r="Q2040" s="499"/>
    </row>
    <row r="2041" spans="1:17" ht="14.4" x14ac:dyDescent="0.3">
      <c r="A2041" s="502">
        <v>6798000</v>
      </c>
      <c r="B2041" s="503" t="s">
        <v>3481</v>
      </c>
      <c r="C2041" s="514">
        <v>0</v>
      </c>
      <c r="D2041" s="514">
        <v>0</v>
      </c>
      <c r="E2041" s="514">
        <v>0</v>
      </c>
      <c r="F2041" s="514">
        <v>0</v>
      </c>
      <c r="G2041" s="514">
        <v>0</v>
      </c>
      <c r="H2041" s="514">
        <v>0</v>
      </c>
      <c r="I2041" s="514">
        <v>0</v>
      </c>
      <c r="J2041" s="514">
        <v>0</v>
      </c>
      <c r="K2041" s="514">
        <v>0</v>
      </c>
      <c r="L2041" s="514">
        <v>0</v>
      </c>
      <c r="M2041" s="514">
        <v>0</v>
      </c>
      <c r="N2041" s="514">
        <v>0</v>
      </c>
      <c r="O2041" s="499"/>
      <c r="P2041" s="499"/>
      <c r="Q2041" s="499"/>
    </row>
    <row r="2042" spans="1:17" ht="14.4" x14ac:dyDescent="0.3">
      <c r="A2042" s="502">
        <v>6798999</v>
      </c>
      <c r="B2042" s="503" t="s">
        <v>1328</v>
      </c>
      <c r="C2042" s="514">
        <v>0</v>
      </c>
      <c r="D2042" s="514">
        <v>0</v>
      </c>
      <c r="E2042" s="514">
        <v>0</v>
      </c>
      <c r="F2042" s="514">
        <v>0</v>
      </c>
      <c r="G2042" s="514">
        <v>0</v>
      </c>
      <c r="H2042" s="514">
        <v>0</v>
      </c>
      <c r="I2042" s="514">
        <v>0</v>
      </c>
      <c r="J2042" s="514">
        <v>0</v>
      </c>
      <c r="K2042" s="514">
        <v>0</v>
      </c>
      <c r="L2042" s="514">
        <v>0</v>
      </c>
      <c r="M2042" s="514">
        <v>0</v>
      </c>
      <c r="N2042" s="514">
        <v>0</v>
      </c>
      <c r="O2042" s="499"/>
      <c r="P2042" s="499"/>
      <c r="Q2042" s="499"/>
    </row>
    <row r="2043" spans="1:17" ht="14.4" x14ac:dyDescent="0.3">
      <c r="A2043" s="502">
        <v>6799000</v>
      </c>
      <c r="B2043" s="503" t="s">
        <v>1330</v>
      </c>
      <c r="C2043" s="514">
        <v>0</v>
      </c>
      <c r="D2043" s="514">
        <v>0</v>
      </c>
      <c r="E2043" s="514">
        <v>0</v>
      </c>
      <c r="F2043" s="514">
        <v>0</v>
      </c>
      <c r="G2043" s="514">
        <v>0</v>
      </c>
      <c r="H2043" s="514">
        <v>0</v>
      </c>
      <c r="I2043" s="514">
        <v>0</v>
      </c>
      <c r="J2043" s="514">
        <v>0</v>
      </c>
      <c r="K2043" s="514">
        <v>0</v>
      </c>
      <c r="L2043" s="514">
        <v>0</v>
      </c>
      <c r="M2043" s="514">
        <v>0</v>
      </c>
      <c r="N2043" s="514">
        <v>0</v>
      </c>
      <c r="O2043" s="499"/>
      <c r="P2043" s="499"/>
      <c r="Q2043" s="499"/>
    </row>
    <row r="2044" spans="1:17" ht="14.4" x14ac:dyDescent="0.3">
      <c r="A2044" s="502">
        <v>6799100</v>
      </c>
      <c r="B2044" s="503" t="s">
        <v>3482</v>
      </c>
      <c r="C2044" s="514">
        <v>0</v>
      </c>
      <c r="D2044" s="514">
        <v>0</v>
      </c>
      <c r="E2044" s="514">
        <v>0</v>
      </c>
      <c r="F2044" s="514">
        <v>0</v>
      </c>
      <c r="G2044" s="514">
        <v>0</v>
      </c>
      <c r="H2044" s="514">
        <v>0</v>
      </c>
      <c r="I2044" s="514">
        <v>0</v>
      </c>
      <c r="J2044" s="514">
        <v>0</v>
      </c>
      <c r="K2044" s="514">
        <v>0</v>
      </c>
      <c r="L2044" s="514">
        <v>0</v>
      </c>
      <c r="M2044" s="514">
        <v>0</v>
      </c>
      <c r="N2044" s="514">
        <v>0</v>
      </c>
      <c r="O2044" s="499"/>
      <c r="P2044" s="499"/>
      <c r="Q2044" s="499"/>
    </row>
    <row r="2045" spans="1:17" ht="14.4" x14ac:dyDescent="0.3">
      <c r="A2045" s="502">
        <v>6799101</v>
      </c>
      <c r="B2045" s="503" t="s">
        <v>3483</v>
      </c>
      <c r="C2045" s="514">
        <v>0</v>
      </c>
      <c r="D2045" s="514">
        <v>0</v>
      </c>
      <c r="E2045" s="514">
        <v>0</v>
      </c>
      <c r="F2045" s="514">
        <v>0</v>
      </c>
      <c r="G2045" s="514">
        <v>0</v>
      </c>
      <c r="H2045" s="514">
        <v>0</v>
      </c>
      <c r="I2045" s="514">
        <v>0</v>
      </c>
      <c r="J2045" s="514">
        <v>0</v>
      </c>
      <c r="K2045" s="514">
        <v>0</v>
      </c>
      <c r="L2045" s="514">
        <v>0</v>
      </c>
      <c r="M2045" s="514">
        <v>0</v>
      </c>
      <c r="N2045" s="514">
        <v>0</v>
      </c>
      <c r="O2045" s="499"/>
      <c r="P2045" s="499"/>
      <c r="Q2045" s="499"/>
    </row>
    <row r="2046" spans="1:17" ht="14.4" x14ac:dyDescent="0.3">
      <c r="A2046" s="502">
        <v>6799102</v>
      </c>
      <c r="B2046" s="503" t="s">
        <v>3484</v>
      </c>
      <c r="C2046" s="514">
        <v>0</v>
      </c>
      <c r="D2046" s="514">
        <v>0</v>
      </c>
      <c r="E2046" s="514">
        <v>0</v>
      </c>
      <c r="F2046" s="514">
        <v>0</v>
      </c>
      <c r="G2046" s="514">
        <v>0</v>
      </c>
      <c r="H2046" s="514">
        <v>0</v>
      </c>
      <c r="I2046" s="514">
        <v>0</v>
      </c>
      <c r="J2046" s="514">
        <v>0</v>
      </c>
      <c r="K2046" s="514">
        <v>0</v>
      </c>
      <c r="L2046" s="514">
        <v>0</v>
      </c>
      <c r="M2046" s="514">
        <v>0</v>
      </c>
      <c r="N2046" s="514">
        <v>0</v>
      </c>
      <c r="O2046" s="499"/>
      <c r="P2046" s="499"/>
      <c r="Q2046" s="499"/>
    </row>
    <row r="2047" spans="1:17" ht="14.4" x14ac:dyDescent="0.3">
      <c r="A2047" s="502">
        <v>6799103</v>
      </c>
      <c r="B2047" s="503" t="s">
        <v>3485</v>
      </c>
      <c r="C2047" s="514">
        <v>0</v>
      </c>
      <c r="D2047" s="514">
        <v>0</v>
      </c>
      <c r="E2047" s="514">
        <v>0</v>
      </c>
      <c r="F2047" s="514">
        <v>0</v>
      </c>
      <c r="G2047" s="514">
        <v>0</v>
      </c>
      <c r="H2047" s="514">
        <v>0</v>
      </c>
      <c r="I2047" s="514">
        <v>0</v>
      </c>
      <c r="J2047" s="514">
        <v>0</v>
      </c>
      <c r="K2047" s="514">
        <v>0</v>
      </c>
      <c r="L2047" s="514">
        <v>0</v>
      </c>
      <c r="M2047" s="514">
        <v>0</v>
      </c>
      <c r="N2047" s="514">
        <v>0</v>
      </c>
      <c r="O2047" s="499"/>
      <c r="P2047" s="499"/>
      <c r="Q2047" s="499"/>
    </row>
    <row r="2048" spans="1:17" ht="14.4" x14ac:dyDescent="0.3">
      <c r="A2048" s="502">
        <v>6799104</v>
      </c>
      <c r="B2048" s="503" t="s">
        <v>1332</v>
      </c>
      <c r="C2048" s="514">
        <v>0</v>
      </c>
      <c r="D2048" s="514">
        <v>0</v>
      </c>
      <c r="E2048" s="514">
        <v>0</v>
      </c>
      <c r="F2048" s="514">
        <v>0</v>
      </c>
      <c r="G2048" s="514">
        <v>0</v>
      </c>
      <c r="H2048" s="514">
        <v>0</v>
      </c>
      <c r="I2048" s="514">
        <v>0</v>
      </c>
      <c r="J2048" s="514">
        <v>0</v>
      </c>
      <c r="K2048" s="514">
        <v>0</v>
      </c>
      <c r="L2048" s="514">
        <v>0</v>
      </c>
      <c r="M2048" s="514">
        <v>0</v>
      </c>
      <c r="N2048" s="514">
        <v>0</v>
      </c>
      <c r="O2048" s="499"/>
      <c r="P2048" s="499"/>
      <c r="Q2048" s="499"/>
    </row>
    <row r="2049" spans="1:17" ht="14.4" x14ac:dyDescent="0.3">
      <c r="A2049" s="502">
        <v>6799105</v>
      </c>
      <c r="B2049" s="503" t="s">
        <v>1334</v>
      </c>
      <c r="C2049" s="514">
        <v>0</v>
      </c>
      <c r="D2049" s="514">
        <v>0</v>
      </c>
      <c r="E2049" s="514">
        <v>0</v>
      </c>
      <c r="F2049" s="514">
        <v>0</v>
      </c>
      <c r="G2049" s="514">
        <v>0</v>
      </c>
      <c r="H2049" s="514">
        <v>0</v>
      </c>
      <c r="I2049" s="514">
        <v>0</v>
      </c>
      <c r="J2049" s="514">
        <v>0</v>
      </c>
      <c r="K2049" s="514">
        <v>0</v>
      </c>
      <c r="L2049" s="514">
        <v>0</v>
      </c>
      <c r="M2049" s="514">
        <v>0</v>
      </c>
      <c r="N2049" s="514">
        <v>0</v>
      </c>
      <c r="O2049" s="499"/>
      <c r="P2049" s="499"/>
      <c r="Q2049" s="499"/>
    </row>
    <row r="2050" spans="1:17" ht="14.4" x14ac:dyDescent="0.3">
      <c r="A2050" s="502">
        <v>6799106</v>
      </c>
      <c r="B2050" s="503" t="s">
        <v>1336</v>
      </c>
      <c r="C2050" s="514">
        <v>0</v>
      </c>
      <c r="D2050" s="514">
        <v>0</v>
      </c>
      <c r="E2050" s="514">
        <v>0</v>
      </c>
      <c r="F2050" s="514">
        <v>0</v>
      </c>
      <c r="G2050" s="514">
        <v>0</v>
      </c>
      <c r="H2050" s="514">
        <v>0</v>
      </c>
      <c r="I2050" s="514">
        <v>0</v>
      </c>
      <c r="J2050" s="514">
        <v>0</v>
      </c>
      <c r="K2050" s="514">
        <v>0</v>
      </c>
      <c r="L2050" s="514">
        <v>0</v>
      </c>
      <c r="M2050" s="514">
        <v>0</v>
      </c>
      <c r="N2050" s="514">
        <v>0</v>
      </c>
      <c r="O2050" s="499"/>
      <c r="P2050" s="499"/>
      <c r="Q2050" s="499"/>
    </row>
    <row r="2051" spans="1:17" ht="14.4" x14ac:dyDescent="0.3">
      <c r="A2051" s="502">
        <v>6799107</v>
      </c>
      <c r="B2051" s="503" t="s">
        <v>1338</v>
      </c>
      <c r="C2051" s="514">
        <v>0</v>
      </c>
      <c r="D2051" s="514">
        <v>0</v>
      </c>
      <c r="E2051" s="514">
        <v>0</v>
      </c>
      <c r="F2051" s="514">
        <v>0</v>
      </c>
      <c r="G2051" s="514">
        <v>0</v>
      </c>
      <c r="H2051" s="514">
        <v>0</v>
      </c>
      <c r="I2051" s="514">
        <v>0</v>
      </c>
      <c r="J2051" s="514">
        <v>0</v>
      </c>
      <c r="K2051" s="514">
        <v>0</v>
      </c>
      <c r="L2051" s="514">
        <v>0</v>
      </c>
      <c r="M2051" s="514">
        <v>0</v>
      </c>
      <c r="N2051" s="514">
        <v>0</v>
      </c>
      <c r="O2051" s="499"/>
      <c r="P2051" s="499"/>
      <c r="Q2051" s="499"/>
    </row>
    <row r="2052" spans="1:17" ht="14.4" x14ac:dyDescent="0.3">
      <c r="A2052" s="502">
        <v>6799108</v>
      </c>
      <c r="B2052" s="503" t="s">
        <v>1340</v>
      </c>
      <c r="C2052" s="514">
        <v>0</v>
      </c>
      <c r="D2052" s="514">
        <v>0</v>
      </c>
      <c r="E2052" s="514">
        <v>0</v>
      </c>
      <c r="F2052" s="514">
        <v>0</v>
      </c>
      <c r="G2052" s="514">
        <v>0</v>
      </c>
      <c r="H2052" s="514">
        <v>0</v>
      </c>
      <c r="I2052" s="514">
        <v>0</v>
      </c>
      <c r="J2052" s="514">
        <v>0</v>
      </c>
      <c r="K2052" s="514">
        <v>0</v>
      </c>
      <c r="L2052" s="514">
        <v>0</v>
      </c>
      <c r="M2052" s="514">
        <v>0</v>
      </c>
      <c r="N2052" s="514">
        <v>0</v>
      </c>
      <c r="O2052" s="499"/>
      <c r="P2052" s="499"/>
      <c r="Q2052" s="499"/>
    </row>
    <row r="2053" spans="1:17" ht="14.4" x14ac:dyDescent="0.3">
      <c r="A2053" s="502">
        <v>6799109</v>
      </c>
      <c r="B2053" s="503" t="s">
        <v>1342</v>
      </c>
      <c r="C2053" s="514">
        <v>0</v>
      </c>
      <c r="D2053" s="514">
        <v>0</v>
      </c>
      <c r="E2053" s="514">
        <v>0</v>
      </c>
      <c r="F2053" s="514">
        <v>0</v>
      </c>
      <c r="G2053" s="514">
        <v>0</v>
      </c>
      <c r="H2053" s="514">
        <v>0</v>
      </c>
      <c r="I2053" s="514">
        <v>0</v>
      </c>
      <c r="J2053" s="514">
        <v>0</v>
      </c>
      <c r="K2053" s="514">
        <v>0</v>
      </c>
      <c r="L2053" s="514">
        <v>0</v>
      </c>
      <c r="M2053" s="514">
        <v>0</v>
      </c>
      <c r="N2053" s="514">
        <v>0</v>
      </c>
      <c r="O2053" s="499"/>
      <c r="P2053" s="499"/>
      <c r="Q2053" s="499"/>
    </row>
    <row r="2054" spans="1:17" ht="14.4" x14ac:dyDescent="0.3">
      <c r="A2054" s="502">
        <v>6799110</v>
      </c>
      <c r="B2054" s="503" t="s">
        <v>3486</v>
      </c>
      <c r="C2054" s="514">
        <v>0</v>
      </c>
      <c r="D2054" s="514">
        <v>0</v>
      </c>
      <c r="E2054" s="514">
        <v>0</v>
      </c>
      <c r="F2054" s="514">
        <v>0</v>
      </c>
      <c r="G2054" s="514">
        <v>0</v>
      </c>
      <c r="H2054" s="514">
        <v>0</v>
      </c>
      <c r="I2054" s="514">
        <v>0</v>
      </c>
      <c r="J2054" s="514">
        <v>0</v>
      </c>
      <c r="K2054" s="514">
        <v>0</v>
      </c>
      <c r="L2054" s="514">
        <v>0</v>
      </c>
      <c r="M2054" s="514">
        <v>0</v>
      </c>
      <c r="N2054" s="514">
        <v>0</v>
      </c>
      <c r="O2054" s="499"/>
      <c r="P2054" s="499"/>
      <c r="Q2054" s="499"/>
    </row>
    <row r="2055" spans="1:17" ht="14.4" x14ac:dyDescent="0.3">
      <c r="A2055" s="502">
        <v>6799111</v>
      </c>
      <c r="B2055" s="503" t="s">
        <v>3487</v>
      </c>
      <c r="C2055" s="514">
        <v>0</v>
      </c>
      <c r="D2055" s="514">
        <v>0</v>
      </c>
      <c r="E2055" s="514">
        <v>0</v>
      </c>
      <c r="F2055" s="514">
        <v>0</v>
      </c>
      <c r="G2055" s="514">
        <v>0</v>
      </c>
      <c r="H2055" s="514">
        <v>0</v>
      </c>
      <c r="I2055" s="514">
        <v>0</v>
      </c>
      <c r="J2055" s="514">
        <v>0</v>
      </c>
      <c r="K2055" s="514">
        <v>0</v>
      </c>
      <c r="L2055" s="514">
        <v>0</v>
      </c>
      <c r="M2055" s="514">
        <v>0</v>
      </c>
      <c r="N2055" s="514">
        <v>0</v>
      </c>
      <c r="O2055" s="499"/>
      <c r="P2055" s="499"/>
      <c r="Q2055" s="499"/>
    </row>
    <row r="2056" spans="1:17" ht="14.4" x14ac:dyDescent="0.3">
      <c r="A2056" s="502">
        <v>6799112</v>
      </c>
      <c r="B2056" s="503" t="s">
        <v>3488</v>
      </c>
      <c r="C2056" s="514">
        <v>0</v>
      </c>
      <c r="D2056" s="514">
        <v>0</v>
      </c>
      <c r="E2056" s="514">
        <v>0</v>
      </c>
      <c r="F2056" s="514">
        <v>0</v>
      </c>
      <c r="G2056" s="514">
        <v>0</v>
      </c>
      <c r="H2056" s="514">
        <v>0</v>
      </c>
      <c r="I2056" s="514">
        <v>0</v>
      </c>
      <c r="J2056" s="514">
        <v>0</v>
      </c>
      <c r="K2056" s="514">
        <v>0</v>
      </c>
      <c r="L2056" s="514">
        <v>0</v>
      </c>
      <c r="M2056" s="514">
        <v>0</v>
      </c>
      <c r="N2056" s="514">
        <v>0</v>
      </c>
      <c r="O2056" s="499"/>
      <c r="P2056" s="499"/>
      <c r="Q2056" s="499"/>
    </row>
    <row r="2057" spans="1:17" ht="14.4" x14ac:dyDescent="0.3">
      <c r="A2057" s="502">
        <v>6799113</v>
      </c>
      <c r="B2057" s="503" t="s">
        <v>3489</v>
      </c>
      <c r="C2057" s="514">
        <v>0</v>
      </c>
      <c r="D2057" s="514">
        <v>0</v>
      </c>
      <c r="E2057" s="514">
        <v>0</v>
      </c>
      <c r="F2057" s="514">
        <v>0</v>
      </c>
      <c r="G2057" s="514">
        <v>0</v>
      </c>
      <c r="H2057" s="514">
        <v>0</v>
      </c>
      <c r="I2057" s="514">
        <v>0</v>
      </c>
      <c r="J2057" s="514">
        <v>0</v>
      </c>
      <c r="K2057" s="514">
        <v>0</v>
      </c>
      <c r="L2057" s="514">
        <v>0</v>
      </c>
      <c r="M2057" s="514">
        <v>0</v>
      </c>
      <c r="N2057" s="514">
        <v>0</v>
      </c>
      <c r="O2057" s="499"/>
      <c r="P2057" s="499"/>
      <c r="Q2057" s="499"/>
    </row>
    <row r="2058" spans="1:17" ht="14.4" x14ac:dyDescent="0.3">
      <c r="A2058" s="502">
        <v>6799200</v>
      </c>
      <c r="B2058" s="503" t="s">
        <v>3490</v>
      </c>
      <c r="C2058" s="514">
        <v>0</v>
      </c>
      <c r="D2058" s="514">
        <v>0</v>
      </c>
      <c r="E2058" s="514">
        <v>0</v>
      </c>
      <c r="F2058" s="514">
        <v>0</v>
      </c>
      <c r="G2058" s="514">
        <v>0</v>
      </c>
      <c r="H2058" s="514">
        <v>0</v>
      </c>
      <c r="I2058" s="514">
        <v>0</v>
      </c>
      <c r="J2058" s="514">
        <v>0</v>
      </c>
      <c r="K2058" s="514">
        <v>0</v>
      </c>
      <c r="L2058" s="514">
        <v>0</v>
      </c>
      <c r="M2058" s="514">
        <v>0</v>
      </c>
      <c r="N2058" s="514">
        <v>0</v>
      </c>
      <c r="O2058" s="499"/>
      <c r="P2058" s="499"/>
      <c r="Q2058" s="499"/>
    </row>
    <row r="2059" spans="1:17" ht="14.4" x14ac:dyDescent="0.3">
      <c r="A2059" s="502">
        <v>6800010</v>
      </c>
      <c r="B2059" s="503" t="s">
        <v>1520</v>
      </c>
      <c r="C2059" s="514">
        <v>3177497.5</v>
      </c>
      <c r="D2059" s="514">
        <v>3193984.99</v>
      </c>
      <c r="E2059" s="514">
        <v>3196950.93</v>
      </c>
      <c r="F2059" s="514">
        <v>3204504.04</v>
      </c>
      <c r="G2059" s="514">
        <v>3207626.61</v>
      </c>
      <c r="H2059" s="514">
        <v>3209171.03</v>
      </c>
      <c r="I2059" s="514">
        <v>3378416.24</v>
      </c>
      <c r="J2059" s="514">
        <v>3378291.77</v>
      </c>
      <c r="K2059" s="514">
        <v>3377376.24</v>
      </c>
      <c r="L2059" s="514">
        <v>3536851.25</v>
      </c>
      <c r="M2059" s="514">
        <v>3554912.88</v>
      </c>
      <c r="N2059" s="514">
        <v>3566116.62</v>
      </c>
      <c r="O2059" s="499"/>
      <c r="P2059" s="499"/>
      <c r="Q2059" s="499"/>
    </row>
    <row r="2060" spans="1:17" ht="14.4" x14ac:dyDescent="0.3">
      <c r="A2060" s="502">
        <v>6800020</v>
      </c>
      <c r="B2060" s="503" t="s">
        <v>3491</v>
      </c>
      <c r="C2060" s="514">
        <v>0</v>
      </c>
      <c r="D2060" s="514">
        <v>0</v>
      </c>
      <c r="E2060" s="514">
        <v>0</v>
      </c>
      <c r="F2060" s="514">
        <v>0</v>
      </c>
      <c r="G2060" s="514">
        <v>0</v>
      </c>
      <c r="H2060" s="514">
        <v>0</v>
      </c>
      <c r="I2060" s="514">
        <v>0</v>
      </c>
      <c r="J2060" s="514">
        <v>0</v>
      </c>
      <c r="K2060" s="514">
        <v>0</v>
      </c>
      <c r="L2060" s="514">
        <v>0</v>
      </c>
      <c r="M2060" s="514">
        <v>0</v>
      </c>
      <c r="N2060" s="514">
        <v>0</v>
      </c>
      <c r="O2060" s="499"/>
      <c r="P2060" s="499"/>
      <c r="Q2060" s="499"/>
    </row>
    <row r="2061" spans="1:17" ht="14.4" x14ac:dyDescent="0.3">
      <c r="A2061" s="502">
        <v>6800030</v>
      </c>
      <c r="B2061" s="503" t="s">
        <v>3492</v>
      </c>
      <c r="C2061" s="514">
        <v>0</v>
      </c>
      <c r="D2061" s="514">
        <v>0</v>
      </c>
      <c r="E2061" s="514">
        <v>0</v>
      </c>
      <c r="F2061" s="514">
        <v>0</v>
      </c>
      <c r="G2061" s="514">
        <v>0</v>
      </c>
      <c r="H2061" s="514">
        <v>0</v>
      </c>
      <c r="I2061" s="514">
        <v>0</v>
      </c>
      <c r="J2061" s="514">
        <v>0</v>
      </c>
      <c r="K2061" s="514">
        <v>0</v>
      </c>
      <c r="L2061" s="514">
        <v>0</v>
      </c>
      <c r="M2061" s="514">
        <v>0</v>
      </c>
      <c r="N2061" s="514">
        <v>0</v>
      </c>
      <c r="O2061" s="499"/>
      <c r="P2061" s="499"/>
      <c r="Q2061" s="499"/>
    </row>
    <row r="2062" spans="1:17" ht="14.4" x14ac:dyDescent="0.3">
      <c r="A2062" s="502">
        <v>6800040</v>
      </c>
      <c r="B2062" s="503" t="s">
        <v>1522</v>
      </c>
      <c r="C2062" s="514">
        <v>15479.11</v>
      </c>
      <c r="D2062" s="514">
        <v>15479.11</v>
      </c>
      <c r="E2062" s="514">
        <v>15479.11</v>
      </c>
      <c r="F2062" s="514">
        <v>15479.11</v>
      </c>
      <c r="G2062" s="514">
        <v>15479.11</v>
      </c>
      <c r="H2062" s="514">
        <v>15479.11</v>
      </c>
      <c r="I2062" s="514">
        <v>15479.11</v>
      </c>
      <c r="J2062" s="514">
        <v>15479.11</v>
      </c>
      <c r="K2062" s="514">
        <v>15479.11</v>
      </c>
      <c r="L2062" s="514">
        <v>15479.11</v>
      </c>
      <c r="M2062" s="514">
        <v>15479.11</v>
      </c>
      <c r="N2062" s="514">
        <v>15479.11</v>
      </c>
      <c r="O2062" s="499"/>
      <c r="P2062" s="499"/>
      <c r="Q2062" s="499"/>
    </row>
    <row r="2063" spans="1:17" ht="14.4" x14ac:dyDescent="0.3">
      <c r="A2063" s="502">
        <v>6800045</v>
      </c>
      <c r="B2063" s="503" t="s">
        <v>1524</v>
      </c>
      <c r="C2063" s="514">
        <v>4246.62</v>
      </c>
      <c r="D2063" s="514">
        <v>4246.62</v>
      </c>
      <c r="E2063" s="514">
        <v>4246.62</v>
      </c>
      <c r="F2063" s="514">
        <v>4246.62</v>
      </c>
      <c r="G2063" s="514">
        <v>4246.62</v>
      </c>
      <c r="H2063" s="514">
        <v>4246.62</v>
      </c>
      <c r="I2063" s="514">
        <v>4246.62</v>
      </c>
      <c r="J2063" s="514">
        <v>4246.62</v>
      </c>
      <c r="K2063" s="514">
        <v>4246.62</v>
      </c>
      <c r="L2063" s="514">
        <v>4246.62</v>
      </c>
      <c r="M2063" s="514">
        <v>4246.62</v>
      </c>
      <c r="N2063" s="514">
        <v>4246.62</v>
      </c>
      <c r="O2063" s="499"/>
      <c r="P2063" s="499"/>
      <c r="Q2063" s="499"/>
    </row>
    <row r="2064" spans="1:17" ht="14.4" x14ac:dyDescent="0.3">
      <c r="A2064" s="502">
        <v>6800050</v>
      </c>
      <c r="B2064" s="503" t="s">
        <v>3493</v>
      </c>
      <c r="C2064" s="514">
        <v>0</v>
      </c>
      <c r="D2064" s="514">
        <v>0</v>
      </c>
      <c r="E2064" s="514">
        <v>0</v>
      </c>
      <c r="F2064" s="514">
        <v>0</v>
      </c>
      <c r="G2064" s="514">
        <v>0</v>
      </c>
      <c r="H2064" s="514">
        <v>0</v>
      </c>
      <c r="I2064" s="514">
        <v>0</v>
      </c>
      <c r="J2064" s="514">
        <v>0</v>
      </c>
      <c r="K2064" s="514">
        <v>0</v>
      </c>
      <c r="L2064" s="514">
        <v>0</v>
      </c>
      <c r="M2064" s="514">
        <v>0</v>
      </c>
      <c r="N2064" s="514">
        <v>0</v>
      </c>
      <c r="O2064" s="499"/>
      <c r="P2064" s="499"/>
      <c r="Q2064" s="499"/>
    </row>
    <row r="2065" spans="1:17" ht="14.4" x14ac:dyDescent="0.3">
      <c r="A2065" s="502">
        <v>6800060</v>
      </c>
      <c r="B2065" s="503" t="s">
        <v>3494</v>
      </c>
      <c r="C2065" s="514">
        <v>0</v>
      </c>
      <c r="D2065" s="514">
        <v>0</v>
      </c>
      <c r="E2065" s="514">
        <v>0</v>
      </c>
      <c r="F2065" s="514">
        <v>0</v>
      </c>
      <c r="G2065" s="514">
        <v>0</v>
      </c>
      <c r="H2065" s="514">
        <v>0</v>
      </c>
      <c r="I2065" s="514">
        <v>0</v>
      </c>
      <c r="J2065" s="514">
        <v>0</v>
      </c>
      <c r="K2065" s="514">
        <v>0</v>
      </c>
      <c r="L2065" s="514">
        <v>0</v>
      </c>
      <c r="M2065" s="514">
        <v>0</v>
      </c>
      <c r="N2065" s="514">
        <v>0</v>
      </c>
      <c r="O2065" s="499"/>
      <c r="P2065" s="499"/>
      <c r="Q2065" s="499"/>
    </row>
    <row r="2066" spans="1:17" ht="14.4" x14ac:dyDescent="0.3">
      <c r="A2066" s="502">
        <v>6800070</v>
      </c>
      <c r="B2066" s="503" t="s">
        <v>3495</v>
      </c>
      <c r="C2066" s="514">
        <v>0</v>
      </c>
      <c r="D2066" s="514">
        <v>0</v>
      </c>
      <c r="E2066" s="514">
        <v>0</v>
      </c>
      <c r="F2066" s="514">
        <v>0</v>
      </c>
      <c r="G2066" s="514">
        <v>0</v>
      </c>
      <c r="H2066" s="514">
        <v>0</v>
      </c>
      <c r="I2066" s="514">
        <v>0</v>
      </c>
      <c r="J2066" s="514">
        <v>0</v>
      </c>
      <c r="K2066" s="514">
        <v>0</v>
      </c>
      <c r="L2066" s="514">
        <v>0</v>
      </c>
      <c r="M2066" s="514">
        <v>0</v>
      </c>
      <c r="N2066" s="514">
        <v>0</v>
      </c>
      <c r="O2066" s="499"/>
      <c r="P2066" s="499"/>
      <c r="Q2066" s="499"/>
    </row>
    <row r="2067" spans="1:17" ht="14.4" x14ac:dyDescent="0.3">
      <c r="A2067" s="502">
        <v>6800080</v>
      </c>
      <c r="B2067" s="503" t="s">
        <v>3496</v>
      </c>
      <c r="C2067" s="514">
        <v>0</v>
      </c>
      <c r="D2067" s="514">
        <v>0</v>
      </c>
      <c r="E2067" s="514">
        <v>0</v>
      </c>
      <c r="F2067" s="514">
        <v>0</v>
      </c>
      <c r="G2067" s="514">
        <v>0</v>
      </c>
      <c r="H2067" s="514">
        <v>0</v>
      </c>
      <c r="I2067" s="514">
        <v>0</v>
      </c>
      <c r="J2067" s="514">
        <v>0</v>
      </c>
      <c r="K2067" s="514">
        <v>0</v>
      </c>
      <c r="L2067" s="514">
        <v>0</v>
      </c>
      <c r="M2067" s="514">
        <v>0</v>
      </c>
      <c r="N2067" s="514">
        <v>0</v>
      </c>
      <c r="O2067" s="499"/>
      <c r="P2067" s="499"/>
      <c r="Q2067" s="499"/>
    </row>
    <row r="2068" spans="1:17" ht="14.4" x14ac:dyDescent="0.3">
      <c r="A2068" s="502">
        <v>6800090</v>
      </c>
      <c r="B2068" s="503" t="s">
        <v>3497</v>
      </c>
      <c r="C2068" s="514">
        <v>0</v>
      </c>
      <c r="D2068" s="514">
        <v>0</v>
      </c>
      <c r="E2068" s="514">
        <v>0</v>
      </c>
      <c r="F2068" s="514">
        <v>0</v>
      </c>
      <c r="G2068" s="514">
        <v>0</v>
      </c>
      <c r="H2068" s="514">
        <v>0</v>
      </c>
      <c r="I2068" s="514">
        <v>0</v>
      </c>
      <c r="J2068" s="514">
        <v>0</v>
      </c>
      <c r="K2068" s="514">
        <v>0</v>
      </c>
      <c r="L2068" s="514">
        <v>0</v>
      </c>
      <c r="M2068" s="514">
        <v>0</v>
      </c>
      <c r="N2068" s="514">
        <v>0</v>
      </c>
      <c r="O2068" s="499"/>
      <c r="P2068" s="499"/>
      <c r="Q2068" s="499"/>
    </row>
    <row r="2069" spans="1:17" ht="14.4" x14ac:dyDescent="0.3">
      <c r="A2069" s="502">
        <v>6800100</v>
      </c>
      <c r="B2069" s="503" t="s">
        <v>3498</v>
      </c>
      <c r="C2069" s="514">
        <v>0</v>
      </c>
      <c r="D2069" s="514">
        <v>0</v>
      </c>
      <c r="E2069" s="514">
        <v>0</v>
      </c>
      <c r="F2069" s="514">
        <v>0</v>
      </c>
      <c r="G2069" s="514">
        <v>0</v>
      </c>
      <c r="H2069" s="514">
        <v>0</v>
      </c>
      <c r="I2069" s="514">
        <v>0</v>
      </c>
      <c r="J2069" s="514">
        <v>0</v>
      </c>
      <c r="K2069" s="514">
        <v>0</v>
      </c>
      <c r="L2069" s="514">
        <v>0</v>
      </c>
      <c r="M2069" s="514">
        <v>0</v>
      </c>
      <c r="N2069" s="514">
        <v>0</v>
      </c>
      <c r="O2069" s="499"/>
      <c r="P2069" s="499"/>
      <c r="Q2069" s="499"/>
    </row>
    <row r="2070" spans="1:17" ht="14.4" x14ac:dyDescent="0.3">
      <c r="A2070" s="502">
        <v>6800110</v>
      </c>
      <c r="B2070" s="503" t="s">
        <v>3499</v>
      </c>
      <c r="C2070" s="514">
        <v>0</v>
      </c>
      <c r="D2070" s="514">
        <v>0</v>
      </c>
      <c r="E2070" s="514">
        <v>0</v>
      </c>
      <c r="F2070" s="514">
        <v>0</v>
      </c>
      <c r="G2070" s="514">
        <v>0</v>
      </c>
      <c r="H2070" s="514">
        <v>0</v>
      </c>
      <c r="I2070" s="514">
        <v>0</v>
      </c>
      <c r="J2070" s="514">
        <v>0</v>
      </c>
      <c r="K2070" s="514">
        <v>0</v>
      </c>
      <c r="L2070" s="514">
        <v>0</v>
      </c>
      <c r="M2070" s="514">
        <v>0</v>
      </c>
      <c r="N2070" s="514">
        <v>0</v>
      </c>
      <c r="O2070" s="499"/>
      <c r="P2070" s="499"/>
      <c r="Q2070" s="499"/>
    </row>
    <row r="2071" spans="1:17" ht="14.4" x14ac:dyDescent="0.3">
      <c r="A2071" s="502">
        <v>6800120</v>
      </c>
      <c r="B2071" s="503" t="s">
        <v>1526</v>
      </c>
      <c r="C2071" s="514">
        <v>0</v>
      </c>
      <c r="D2071" s="514">
        <v>0</v>
      </c>
      <c r="E2071" s="514">
        <v>0</v>
      </c>
      <c r="F2071" s="514">
        <v>0</v>
      </c>
      <c r="G2071" s="514">
        <v>0</v>
      </c>
      <c r="H2071" s="514">
        <v>0</v>
      </c>
      <c r="I2071" s="514">
        <v>0</v>
      </c>
      <c r="J2071" s="514">
        <v>0</v>
      </c>
      <c r="K2071" s="514">
        <v>0</v>
      </c>
      <c r="L2071" s="514">
        <v>0</v>
      </c>
      <c r="M2071" s="514">
        <v>0</v>
      </c>
      <c r="N2071" s="514">
        <v>0</v>
      </c>
      <c r="O2071" s="499"/>
      <c r="P2071" s="499"/>
      <c r="Q2071" s="499"/>
    </row>
    <row r="2072" spans="1:17" ht="14.4" x14ac:dyDescent="0.3">
      <c r="A2072" s="502">
        <v>6800280</v>
      </c>
      <c r="B2072" s="503" t="s">
        <v>3500</v>
      </c>
      <c r="C2072" s="514">
        <v>0</v>
      </c>
      <c r="D2072" s="514">
        <v>0</v>
      </c>
      <c r="E2072" s="514">
        <v>0</v>
      </c>
      <c r="F2072" s="514">
        <v>0</v>
      </c>
      <c r="G2072" s="514">
        <v>0</v>
      </c>
      <c r="H2072" s="514">
        <v>0</v>
      </c>
      <c r="I2072" s="514">
        <v>0</v>
      </c>
      <c r="J2072" s="514">
        <v>0</v>
      </c>
      <c r="K2072" s="514">
        <v>0</v>
      </c>
      <c r="L2072" s="514">
        <v>0</v>
      </c>
      <c r="M2072" s="514">
        <v>0</v>
      </c>
      <c r="N2072" s="514">
        <v>0</v>
      </c>
      <c r="O2072" s="499"/>
      <c r="P2072" s="499"/>
      <c r="Q2072" s="499"/>
    </row>
    <row r="2073" spans="1:17" ht="14.4" x14ac:dyDescent="0.3">
      <c r="A2073" s="502">
        <v>6800281</v>
      </c>
      <c r="B2073" s="503" t="s">
        <v>3501</v>
      </c>
      <c r="C2073" s="514">
        <v>0</v>
      </c>
      <c r="D2073" s="514">
        <v>0</v>
      </c>
      <c r="E2073" s="514">
        <v>0</v>
      </c>
      <c r="F2073" s="514">
        <v>0</v>
      </c>
      <c r="G2073" s="514">
        <v>0</v>
      </c>
      <c r="H2073" s="514">
        <v>0</v>
      </c>
      <c r="I2073" s="514">
        <v>0</v>
      </c>
      <c r="J2073" s="514">
        <v>0</v>
      </c>
      <c r="K2073" s="514">
        <v>0</v>
      </c>
      <c r="L2073" s="514">
        <v>0</v>
      </c>
      <c r="M2073" s="514">
        <v>0</v>
      </c>
      <c r="N2073" s="514">
        <v>0</v>
      </c>
      <c r="O2073" s="499"/>
      <c r="P2073" s="499"/>
      <c r="Q2073" s="499"/>
    </row>
    <row r="2074" spans="1:17" ht="14.4" x14ac:dyDescent="0.3">
      <c r="A2074" s="502">
        <v>6800282</v>
      </c>
      <c r="B2074" s="503" t="s">
        <v>3502</v>
      </c>
      <c r="C2074" s="514">
        <v>0</v>
      </c>
      <c r="D2074" s="514">
        <v>0</v>
      </c>
      <c r="E2074" s="514">
        <v>0</v>
      </c>
      <c r="F2074" s="514">
        <v>0</v>
      </c>
      <c r="G2074" s="514">
        <v>0</v>
      </c>
      <c r="H2074" s="514">
        <v>0</v>
      </c>
      <c r="I2074" s="514">
        <v>0</v>
      </c>
      <c r="J2074" s="514">
        <v>0</v>
      </c>
      <c r="K2074" s="514">
        <v>0</v>
      </c>
      <c r="L2074" s="514">
        <v>0</v>
      </c>
      <c r="M2074" s="514">
        <v>0</v>
      </c>
      <c r="N2074" s="514">
        <v>0</v>
      </c>
      <c r="O2074" s="499"/>
      <c r="P2074" s="499"/>
      <c r="Q2074" s="499"/>
    </row>
    <row r="2075" spans="1:17" ht="14.4" x14ac:dyDescent="0.3">
      <c r="A2075" s="502">
        <v>6800800</v>
      </c>
      <c r="B2075" s="503" t="s">
        <v>3503</v>
      </c>
      <c r="C2075" s="514">
        <v>0</v>
      </c>
      <c r="D2075" s="514">
        <v>0</v>
      </c>
      <c r="E2075" s="514">
        <v>0</v>
      </c>
      <c r="F2075" s="514">
        <v>0</v>
      </c>
      <c r="G2075" s="514">
        <v>0</v>
      </c>
      <c r="H2075" s="514">
        <v>0</v>
      </c>
      <c r="I2075" s="514">
        <v>0</v>
      </c>
      <c r="J2075" s="514">
        <v>0</v>
      </c>
      <c r="K2075" s="514">
        <v>0</v>
      </c>
      <c r="L2075" s="514">
        <v>0</v>
      </c>
      <c r="M2075" s="514">
        <v>0</v>
      </c>
      <c r="N2075" s="514">
        <v>0</v>
      </c>
      <c r="O2075" s="499"/>
      <c r="P2075" s="499"/>
      <c r="Q2075" s="499"/>
    </row>
    <row r="2076" spans="1:17" ht="14.4" x14ac:dyDescent="0.3">
      <c r="A2076" s="502">
        <v>6809000</v>
      </c>
      <c r="B2076" s="503" t="s">
        <v>3504</v>
      </c>
      <c r="C2076" s="514">
        <v>0</v>
      </c>
      <c r="D2076" s="514">
        <v>0</v>
      </c>
      <c r="E2076" s="514">
        <v>0</v>
      </c>
      <c r="F2076" s="514">
        <v>0</v>
      </c>
      <c r="G2076" s="514">
        <v>0</v>
      </c>
      <c r="H2076" s="514">
        <v>0</v>
      </c>
      <c r="I2076" s="514">
        <v>0</v>
      </c>
      <c r="J2076" s="514">
        <v>0</v>
      </c>
      <c r="K2076" s="514">
        <v>0</v>
      </c>
      <c r="L2076" s="514">
        <v>0</v>
      </c>
      <c r="M2076" s="514">
        <v>0</v>
      </c>
      <c r="N2076" s="514">
        <v>0</v>
      </c>
      <c r="O2076" s="499"/>
      <c r="P2076" s="499"/>
      <c r="Q2076" s="499"/>
    </row>
    <row r="2077" spans="1:17" ht="14.4" x14ac:dyDescent="0.3">
      <c r="A2077" s="502">
        <v>6810010</v>
      </c>
      <c r="B2077" s="503" t="s">
        <v>1496</v>
      </c>
      <c r="C2077" s="514">
        <v>34724747.240000002</v>
      </c>
      <c r="D2077" s="514">
        <v>34750544.630000003</v>
      </c>
      <c r="E2077" s="514">
        <v>35184808.700000003</v>
      </c>
      <c r="F2077" s="514">
        <v>35737227.75</v>
      </c>
      <c r="G2077" s="514">
        <v>36484255.18</v>
      </c>
      <c r="H2077" s="514">
        <v>36765796.219999999</v>
      </c>
      <c r="I2077" s="514">
        <v>37438249.469999999</v>
      </c>
      <c r="J2077" s="514">
        <v>37619085.380000003</v>
      </c>
      <c r="K2077" s="514">
        <v>37805035.049999997</v>
      </c>
      <c r="L2077" s="514">
        <v>37933229.649999999</v>
      </c>
      <c r="M2077" s="514">
        <v>37933191.090000004</v>
      </c>
      <c r="N2077" s="514">
        <v>38026618.25</v>
      </c>
      <c r="O2077" s="499"/>
      <c r="P2077" s="499"/>
      <c r="Q2077" s="499"/>
    </row>
    <row r="2078" spans="1:17" ht="14.4" x14ac:dyDescent="0.3">
      <c r="A2078" s="502">
        <v>6810020</v>
      </c>
      <c r="B2078" s="503" t="s">
        <v>3505</v>
      </c>
      <c r="C2078" s="514">
        <v>0</v>
      </c>
      <c r="D2078" s="514">
        <v>0</v>
      </c>
      <c r="E2078" s="514">
        <v>0</v>
      </c>
      <c r="F2078" s="514">
        <v>0</v>
      </c>
      <c r="G2078" s="514">
        <v>0</v>
      </c>
      <c r="H2078" s="514">
        <v>0</v>
      </c>
      <c r="I2078" s="514">
        <v>0</v>
      </c>
      <c r="J2078" s="514">
        <v>0</v>
      </c>
      <c r="K2078" s="514">
        <v>0</v>
      </c>
      <c r="L2078" s="514">
        <v>0</v>
      </c>
      <c r="M2078" s="514">
        <v>0</v>
      </c>
      <c r="N2078" s="514">
        <v>0</v>
      </c>
      <c r="O2078" s="499"/>
      <c r="P2078" s="499"/>
      <c r="Q2078" s="499"/>
    </row>
    <row r="2079" spans="1:17" ht="14.4" x14ac:dyDescent="0.3">
      <c r="A2079" s="502">
        <v>6810025</v>
      </c>
      <c r="B2079" s="503" t="s">
        <v>1498</v>
      </c>
      <c r="C2079" s="514">
        <v>40722.1</v>
      </c>
      <c r="D2079" s="514">
        <v>40722.1</v>
      </c>
      <c r="E2079" s="514">
        <v>40722.1</v>
      </c>
      <c r="F2079" s="514">
        <v>40722.1</v>
      </c>
      <c r="G2079" s="514">
        <v>40722.1</v>
      </c>
      <c r="H2079" s="514">
        <v>40722.1</v>
      </c>
      <c r="I2079" s="514">
        <v>40722.1</v>
      </c>
      <c r="J2079" s="514">
        <v>40722.1</v>
      </c>
      <c r="K2079" s="514">
        <v>40722.1</v>
      </c>
      <c r="L2079" s="514">
        <v>40722.1</v>
      </c>
      <c r="M2079" s="514">
        <v>40722.1</v>
      </c>
      <c r="N2079" s="514">
        <v>40722.1</v>
      </c>
      <c r="O2079" s="499"/>
      <c r="P2079" s="499"/>
      <c r="Q2079" s="499"/>
    </row>
    <row r="2080" spans="1:17" ht="14.4" x14ac:dyDescent="0.3">
      <c r="A2080" s="502">
        <v>6810030</v>
      </c>
      <c r="B2080" s="503" t="s">
        <v>3506</v>
      </c>
      <c r="C2080" s="514">
        <v>0</v>
      </c>
      <c r="D2080" s="514">
        <v>0</v>
      </c>
      <c r="E2080" s="514">
        <v>0</v>
      </c>
      <c r="F2080" s="514">
        <v>0</v>
      </c>
      <c r="G2080" s="514">
        <v>0</v>
      </c>
      <c r="H2080" s="514">
        <v>0</v>
      </c>
      <c r="I2080" s="514">
        <v>0</v>
      </c>
      <c r="J2080" s="514">
        <v>0</v>
      </c>
      <c r="K2080" s="514">
        <v>0</v>
      </c>
      <c r="L2080" s="514">
        <v>0</v>
      </c>
      <c r="M2080" s="514">
        <v>0</v>
      </c>
      <c r="N2080" s="514">
        <v>0</v>
      </c>
      <c r="O2080" s="499"/>
      <c r="P2080" s="499"/>
      <c r="Q2080" s="499"/>
    </row>
    <row r="2081" spans="1:17" ht="14.4" x14ac:dyDescent="0.3">
      <c r="A2081" s="502">
        <v>6810040</v>
      </c>
      <c r="B2081" s="503" t="s">
        <v>3507</v>
      </c>
      <c r="C2081" s="514">
        <v>0</v>
      </c>
      <c r="D2081" s="514">
        <v>0</v>
      </c>
      <c r="E2081" s="514">
        <v>0</v>
      </c>
      <c r="F2081" s="514">
        <v>0</v>
      </c>
      <c r="G2081" s="514">
        <v>0</v>
      </c>
      <c r="H2081" s="514">
        <v>0</v>
      </c>
      <c r="I2081" s="514">
        <v>0</v>
      </c>
      <c r="J2081" s="514">
        <v>0</v>
      </c>
      <c r="K2081" s="514">
        <v>0</v>
      </c>
      <c r="L2081" s="514">
        <v>0</v>
      </c>
      <c r="M2081" s="514">
        <v>0</v>
      </c>
      <c r="N2081" s="514">
        <v>0</v>
      </c>
      <c r="O2081" s="499"/>
      <c r="P2081" s="499"/>
      <c r="Q2081" s="499"/>
    </row>
    <row r="2082" spans="1:17" ht="14.4" x14ac:dyDescent="0.3">
      <c r="A2082" s="502">
        <v>6810050</v>
      </c>
      <c r="B2082" s="503" t="s">
        <v>1500</v>
      </c>
      <c r="C2082" s="514">
        <v>0</v>
      </c>
      <c r="D2082" s="514">
        <v>0</v>
      </c>
      <c r="E2082" s="514">
        <v>0</v>
      </c>
      <c r="F2082" s="514">
        <v>0</v>
      </c>
      <c r="G2082" s="514">
        <v>0</v>
      </c>
      <c r="H2082" s="514">
        <v>0</v>
      </c>
      <c r="I2082" s="514">
        <v>0</v>
      </c>
      <c r="J2082" s="514">
        <v>0</v>
      </c>
      <c r="K2082" s="514">
        <v>0</v>
      </c>
      <c r="L2082" s="514">
        <v>0</v>
      </c>
      <c r="M2082" s="514">
        <v>0</v>
      </c>
      <c r="N2082" s="514">
        <v>0</v>
      </c>
      <c r="O2082" s="499"/>
      <c r="P2082" s="499"/>
      <c r="Q2082" s="499"/>
    </row>
    <row r="2083" spans="1:17" ht="14.4" x14ac:dyDescent="0.3">
      <c r="A2083" s="502">
        <v>6810060</v>
      </c>
      <c r="B2083" s="503" t="s">
        <v>1502</v>
      </c>
      <c r="C2083" s="514">
        <v>667895.25</v>
      </c>
      <c r="D2083" s="514">
        <v>667895.25</v>
      </c>
      <c r="E2083" s="514">
        <v>667895.25</v>
      </c>
      <c r="F2083" s="514">
        <v>667895.25</v>
      </c>
      <c r="G2083" s="514">
        <v>667895.25</v>
      </c>
      <c r="H2083" s="514">
        <v>667895.25</v>
      </c>
      <c r="I2083" s="514">
        <v>667895.25</v>
      </c>
      <c r="J2083" s="514">
        <v>667895.25</v>
      </c>
      <c r="K2083" s="514">
        <v>667895.25</v>
      </c>
      <c r="L2083" s="514">
        <v>667895.25</v>
      </c>
      <c r="M2083" s="514">
        <v>667895.25</v>
      </c>
      <c r="N2083" s="514">
        <v>667895.25</v>
      </c>
      <c r="O2083" s="499"/>
      <c r="P2083" s="499"/>
      <c r="Q2083" s="499"/>
    </row>
    <row r="2084" spans="1:17" ht="14.4" x14ac:dyDescent="0.3">
      <c r="A2084" s="502">
        <v>6810071</v>
      </c>
      <c r="B2084" s="503" t="s">
        <v>3508</v>
      </c>
      <c r="C2084" s="514">
        <v>0</v>
      </c>
      <c r="D2084" s="514">
        <v>0</v>
      </c>
      <c r="E2084" s="514">
        <v>0</v>
      </c>
      <c r="F2084" s="514">
        <v>0</v>
      </c>
      <c r="G2084" s="514">
        <v>0</v>
      </c>
      <c r="H2084" s="514">
        <v>0</v>
      </c>
      <c r="I2084" s="514">
        <v>0</v>
      </c>
      <c r="J2084" s="514">
        <v>0</v>
      </c>
      <c r="K2084" s="514">
        <v>0</v>
      </c>
      <c r="L2084" s="514">
        <v>0</v>
      </c>
      <c r="M2084" s="514">
        <v>0</v>
      </c>
      <c r="N2084" s="514">
        <v>0</v>
      </c>
      <c r="O2084" s="499"/>
      <c r="P2084" s="499"/>
      <c r="Q2084" s="499"/>
    </row>
    <row r="2085" spans="1:17" ht="14.4" x14ac:dyDescent="0.3">
      <c r="A2085" s="502">
        <v>6810090</v>
      </c>
      <c r="B2085" s="503" t="s">
        <v>1504</v>
      </c>
      <c r="C2085" s="514">
        <v>0</v>
      </c>
      <c r="D2085" s="514">
        <v>0</v>
      </c>
      <c r="E2085" s="514">
        <v>0</v>
      </c>
      <c r="F2085" s="514">
        <v>0</v>
      </c>
      <c r="G2085" s="514">
        <v>0</v>
      </c>
      <c r="H2085" s="514">
        <v>0</v>
      </c>
      <c r="I2085" s="514">
        <v>0</v>
      </c>
      <c r="J2085" s="514">
        <v>0</v>
      </c>
      <c r="K2085" s="514">
        <v>0</v>
      </c>
      <c r="L2085" s="514">
        <v>0</v>
      </c>
      <c r="M2085" s="514">
        <v>0</v>
      </c>
      <c r="N2085" s="514">
        <v>0</v>
      </c>
      <c r="O2085" s="499"/>
      <c r="P2085" s="499"/>
      <c r="Q2085" s="499"/>
    </row>
    <row r="2086" spans="1:17" ht="14.4" x14ac:dyDescent="0.3">
      <c r="A2086" s="502">
        <v>6810120</v>
      </c>
      <c r="B2086" s="503" t="s">
        <v>3509</v>
      </c>
      <c r="C2086" s="514">
        <v>0</v>
      </c>
      <c r="D2086" s="514">
        <v>0</v>
      </c>
      <c r="E2086" s="514">
        <v>0</v>
      </c>
      <c r="F2086" s="514">
        <v>0</v>
      </c>
      <c r="G2086" s="514">
        <v>0</v>
      </c>
      <c r="H2086" s="514">
        <v>0</v>
      </c>
      <c r="I2086" s="514">
        <v>0</v>
      </c>
      <c r="J2086" s="514">
        <v>0</v>
      </c>
      <c r="K2086" s="514">
        <v>0</v>
      </c>
      <c r="L2086" s="514">
        <v>0</v>
      </c>
      <c r="M2086" s="514">
        <v>0</v>
      </c>
      <c r="N2086" s="514">
        <v>0</v>
      </c>
      <c r="O2086" s="499"/>
      <c r="P2086" s="499"/>
      <c r="Q2086" s="499"/>
    </row>
    <row r="2087" spans="1:17" ht="14.4" x14ac:dyDescent="0.3">
      <c r="A2087" s="502">
        <v>6810140</v>
      </c>
      <c r="B2087" s="503" t="s">
        <v>1514</v>
      </c>
      <c r="C2087" s="514">
        <v>0</v>
      </c>
      <c r="D2087" s="514">
        <v>0</v>
      </c>
      <c r="E2087" s="514">
        <v>0</v>
      </c>
      <c r="F2087" s="514">
        <v>0</v>
      </c>
      <c r="G2087" s="514">
        <v>0</v>
      </c>
      <c r="H2087" s="514">
        <v>0</v>
      </c>
      <c r="I2087" s="514">
        <v>0</v>
      </c>
      <c r="J2087" s="514">
        <v>0</v>
      </c>
      <c r="K2087" s="514">
        <v>0</v>
      </c>
      <c r="L2087" s="514">
        <v>0</v>
      </c>
      <c r="M2087" s="514">
        <v>0</v>
      </c>
      <c r="N2087" s="514">
        <v>0</v>
      </c>
      <c r="O2087" s="499"/>
      <c r="P2087" s="499"/>
      <c r="Q2087" s="499"/>
    </row>
    <row r="2088" spans="1:17" ht="14.4" x14ac:dyDescent="0.3">
      <c r="A2088" s="502">
        <v>6810200</v>
      </c>
      <c r="B2088" s="503" t="s">
        <v>3510</v>
      </c>
      <c r="C2088" s="514">
        <v>0</v>
      </c>
      <c r="D2088" s="514">
        <v>0</v>
      </c>
      <c r="E2088" s="514">
        <v>0</v>
      </c>
      <c r="F2088" s="514">
        <v>0</v>
      </c>
      <c r="G2088" s="514">
        <v>0</v>
      </c>
      <c r="H2088" s="514">
        <v>0</v>
      </c>
      <c r="I2088" s="514">
        <v>0</v>
      </c>
      <c r="J2088" s="514">
        <v>0</v>
      </c>
      <c r="K2088" s="514">
        <v>0</v>
      </c>
      <c r="L2088" s="514">
        <v>0</v>
      </c>
      <c r="M2088" s="514">
        <v>0</v>
      </c>
      <c r="N2088" s="514">
        <v>0</v>
      </c>
      <c r="O2088" s="499"/>
      <c r="P2088" s="499"/>
      <c r="Q2088" s="499"/>
    </row>
    <row r="2089" spans="1:17" ht="14.4" x14ac:dyDescent="0.3">
      <c r="A2089" s="502">
        <v>6810800</v>
      </c>
      <c r="B2089" s="503" t="s">
        <v>3511</v>
      </c>
      <c r="C2089" s="514">
        <v>0</v>
      </c>
      <c r="D2089" s="514">
        <v>0</v>
      </c>
      <c r="E2089" s="514">
        <v>0</v>
      </c>
      <c r="F2089" s="514">
        <v>0</v>
      </c>
      <c r="G2089" s="514">
        <v>0</v>
      </c>
      <c r="H2089" s="514">
        <v>0</v>
      </c>
      <c r="I2089" s="514">
        <v>0</v>
      </c>
      <c r="J2089" s="514">
        <v>0</v>
      </c>
      <c r="K2089" s="514">
        <v>0</v>
      </c>
      <c r="L2089" s="514">
        <v>0</v>
      </c>
      <c r="M2089" s="514">
        <v>0</v>
      </c>
      <c r="N2089" s="514">
        <v>0</v>
      </c>
      <c r="O2089" s="499"/>
      <c r="P2089" s="499"/>
      <c r="Q2089" s="499"/>
    </row>
    <row r="2090" spans="1:17" ht="14.4" x14ac:dyDescent="0.3">
      <c r="A2090" s="502">
        <v>6810801</v>
      </c>
      <c r="B2090" s="503" t="s">
        <v>3512</v>
      </c>
      <c r="C2090" s="514">
        <v>0</v>
      </c>
      <c r="D2090" s="514">
        <v>0</v>
      </c>
      <c r="E2090" s="514">
        <v>0</v>
      </c>
      <c r="F2090" s="514">
        <v>0</v>
      </c>
      <c r="G2090" s="514">
        <v>0</v>
      </c>
      <c r="H2090" s="514">
        <v>0</v>
      </c>
      <c r="I2090" s="514">
        <v>0</v>
      </c>
      <c r="J2090" s="514">
        <v>0</v>
      </c>
      <c r="K2090" s="514">
        <v>0</v>
      </c>
      <c r="L2090" s="514">
        <v>0</v>
      </c>
      <c r="M2090" s="514">
        <v>0</v>
      </c>
      <c r="N2090" s="514">
        <v>0</v>
      </c>
      <c r="O2090" s="499"/>
      <c r="P2090" s="499"/>
      <c r="Q2090" s="499"/>
    </row>
    <row r="2091" spans="1:17" ht="14.4" x14ac:dyDescent="0.3">
      <c r="A2091" s="502">
        <v>6810802</v>
      </c>
      <c r="B2091" s="503" t="s">
        <v>3513</v>
      </c>
      <c r="C2091" s="514">
        <v>0</v>
      </c>
      <c r="D2091" s="514">
        <v>0</v>
      </c>
      <c r="E2091" s="514">
        <v>0</v>
      </c>
      <c r="F2091" s="514">
        <v>0</v>
      </c>
      <c r="G2091" s="514">
        <v>0</v>
      </c>
      <c r="H2091" s="514">
        <v>0</v>
      </c>
      <c r="I2091" s="514">
        <v>0</v>
      </c>
      <c r="J2091" s="514">
        <v>0</v>
      </c>
      <c r="K2091" s="514">
        <v>0</v>
      </c>
      <c r="L2091" s="514">
        <v>0</v>
      </c>
      <c r="M2091" s="514">
        <v>0</v>
      </c>
      <c r="N2091" s="514">
        <v>0</v>
      </c>
      <c r="O2091" s="499"/>
      <c r="P2091" s="499"/>
      <c r="Q2091" s="499"/>
    </row>
    <row r="2092" spans="1:17" ht="14.4" x14ac:dyDescent="0.3">
      <c r="A2092" s="502">
        <v>6819000</v>
      </c>
      <c r="B2092" s="503" t="s">
        <v>3514</v>
      </c>
      <c r="C2092" s="514">
        <v>0</v>
      </c>
      <c r="D2092" s="514">
        <v>0</v>
      </c>
      <c r="E2092" s="514">
        <v>0</v>
      </c>
      <c r="F2092" s="514">
        <v>0</v>
      </c>
      <c r="G2092" s="514">
        <v>0</v>
      </c>
      <c r="H2092" s="514">
        <v>0</v>
      </c>
      <c r="I2092" s="514">
        <v>0</v>
      </c>
      <c r="J2092" s="514">
        <v>0</v>
      </c>
      <c r="K2092" s="514">
        <v>0</v>
      </c>
      <c r="L2092" s="514">
        <v>0</v>
      </c>
      <c r="M2092" s="514">
        <v>0</v>
      </c>
      <c r="N2092" s="514">
        <v>0</v>
      </c>
      <c r="O2092" s="499"/>
      <c r="P2092" s="499"/>
      <c r="Q2092" s="499"/>
    </row>
    <row r="2093" spans="1:17" ht="14.4" x14ac:dyDescent="0.3">
      <c r="A2093" s="502">
        <v>6820000</v>
      </c>
      <c r="B2093" s="503" t="s">
        <v>3515</v>
      </c>
      <c r="C2093" s="514">
        <v>0</v>
      </c>
      <c r="D2093" s="514">
        <v>0</v>
      </c>
      <c r="E2093" s="514">
        <v>0</v>
      </c>
      <c r="F2093" s="514">
        <v>0</v>
      </c>
      <c r="G2093" s="514">
        <v>0</v>
      </c>
      <c r="H2093" s="514">
        <v>0</v>
      </c>
      <c r="I2093" s="514">
        <v>0</v>
      </c>
      <c r="J2093" s="514">
        <v>0</v>
      </c>
      <c r="K2093" s="514">
        <v>0</v>
      </c>
      <c r="L2093" s="514">
        <v>0</v>
      </c>
      <c r="M2093" s="514">
        <v>0</v>
      </c>
      <c r="N2093" s="514">
        <v>0</v>
      </c>
      <c r="O2093" s="499"/>
      <c r="P2093" s="499"/>
      <c r="Q2093" s="499"/>
    </row>
    <row r="2094" spans="1:17" ht="14.4" x14ac:dyDescent="0.3">
      <c r="A2094" s="502">
        <v>6820100</v>
      </c>
      <c r="B2094" s="503" t="s">
        <v>3516</v>
      </c>
      <c r="C2094" s="514">
        <v>0</v>
      </c>
      <c r="D2094" s="514">
        <v>0</v>
      </c>
      <c r="E2094" s="514">
        <v>0</v>
      </c>
      <c r="F2094" s="514">
        <v>0</v>
      </c>
      <c r="G2094" s="514">
        <v>0</v>
      </c>
      <c r="H2094" s="514">
        <v>0</v>
      </c>
      <c r="I2094" s="514">
        <v>0</v>
      </c>
      <c r="J2094" s="514">
        <v>0</v>
      </c>
      <c r="K2094" s="514">
        <v>0</v>
      </c>
      <c r="L2094" s="514">
        <v>0</v>
      </c>
      <c r="M2094" s="514">
        <v>0</v>
      </c>
      <c r="N2094" s="514">
        <v>0</v>
      </c>
      <c r="O2094" s="499"/>
      <c r="P2094" s="499"/>
      <c r="Q2094" s="499"/>
    </row>
    <row r="2095" spans="1:17" ht="14.4" x14ac:dyDescent="0.3">
      <c r="A2095" s="502">
        <v>6900010</v>
      </c>
      <c r="B2095" s="503" t="s">
        <v>1532</v>
      </c>
      <c r="C2095" s="514">
        <v>0</v>
      </c>
      <c r="D2095" s="514">
        <v>0</v>
      </c>
      <c r="E2095" s="514">
        <v>0</v>
      </c>
      <c r="F2095" s="514">
        <v>0</v>
      </c>
      <c r="G2095" s="514">
        <v>0</v>
      </c>
      <c r="H2095" s="514">
        <v>0</v>
      </c>
      <c r="I2095" s="514">
        <v>0</v>
      </c>
      <c r="J2095" s="514">
        <v>0</v>
      </c>
      <c r="K2095" s="514">
        <v>0</v>
      </c>
      <c r="L2095" s="514">
        <v>0</v>
      </c>
      <c r="M2095" s="514">
        <v>0</v>
      </c>
      <c r="N2095" s="514">
        <v>0</v>
      </c>
      <c r="O2095" s="499"/>
      <c r="P2095" s="499"/>
      <c r="Q2095" s="499"/>
    </row>
    <row r="2096" spans="1:17" ht="14.4" x14ac:dyDescent="0.3">
      <c r="A2096" s="502">
        <v>6900020</v>
      </c>
      <c r="B2096" s="503" t="s">
        <v>3517</v>
      </c>
      <c r="C2096" s="514">
        <v>0</v>
      </c>
      <c r="D2096" s="514">
        <v>0</v>
      </c>
      <c r="E2096" s="514">
        <v>0</v>
      </c>
      <c r="F2096" s="514">
        <v>0</v>
      </c>
      <c r="G2096" s="514">
        <v>0</v>
      </c>
      <c r="H2096" s="514">
        <v>0</v>
      </c>
      <c r="I2096" s="514">
        <v>0</v>
      </c>
      <c r="J2096" s="514">
        <v>0</v>
      </c>
      <c r="K2096" s="514">
        <v>0</v>
      </c>
      <c r="L2096" s="514">
        <v>0</v>
      </c>
      <c r="M2096" s="514">
        <v>0</v>
      </c>
      <c r="N2096" s="514">
        <v>0</v>
      </c>
      <c r="O2096" s="499"/>
      <c r="P2096" s="499"/>
      <c r="Q2096" s="499"/>
    </row>
    <row r="2097" spans="1:17" ht="14.4" x14ac:dyDescent="0.3">
      <c r="A2097" s="502">
        <v>6900030</v>
      </c>
      <c r="B2097" s="503" t="s">
        <v>1534</v>
      </c>
      <c r="C2097" s="514">
        <v>0</v>
      </c>
      <c r="D2097" s="514">
        <v>0</v>
      </c>
      <c r="E2097" s="514">
        <v>0</v>
      </c>
      <c r="F2097" s="514">
        <v>0</v>
      </c>
      <c r="G2097" s="514">
        <v>0</v>
      </c>
      <c r="H2097" s="514">
        <v>0</v>
      </c>
      <c r="I2097" s="514">
        <v>0</v>
      </c>
      <c r="J2097" s="514">
        <v>0</v>
      </c>
      <c r="K2097" s="514">
        <v>0</v>
      </c>
      <c r="L2097" s="514">
        <v>0</v>
      </c>
      <c r="M2097" s="514">
        <v>0</v>
      </c>
      <c r="N2097" s="514">
        <v>0</v>
      </c>
      <c r="O2097" s="499"/>
      <c r="P2097" s="499"/>
      <c r="Q2097" s="499"/>
    </row>
    <row r="2098" spans="1:17" ht="14.4" x14ac:dyDescent="0.3">
      <c r="A2098" s="502">
        <v>6900040</v>
      </c>
      <c r="B2098" s="503" t="s">
        <v>1536</v>
      </c>
      <c r="C2098" s="514">
        <v>0</v>
      </c>
      <c r="D2098" s="514">
        <v>0</v>
      </c>
      <c r="E2098" s="514">
        <v>0</v>
      </c>
      <c r="F2098" s="514">
        <v>0</v>
      </c>
      <c r="G2098" s="514">
        <v>0</v>
      </c>
      <c r="H2098" s="514">
        <v>0</v>
      </c>
      <c r="I2098" s="514">
        <v>0</v>
      </c>
      <c r="J2098" s="514">
        <v>0</v>
      </c>
      <c r="K2098" s="514">
        <v>0</v>
      </c>
      <c r="L2098" s="514">
        <v>0</v>
      </c>
      <c r="M2098" s="514">
        <v>0</v>
      </c>
      <c r="N2098" s="514">
        <v>0</v>
      </c>
      <c r="O2098" s="499"/>
      <c r="P2098" s="499"/>
      <c r="Q2098" s="499"/>
    </row>
    <row r="2099" spans="1:17" ht="14.4" x14ac:dyDescent="0.3">
      <c r="A2099" s="502">
        <v>6900045</v>
      </c>
      <c r="B2099" s="503" t="s">
        <v>3518</v>
      </c>
      <c r="C2099" s="514">
        <v>0</v>
      </c>
      <c r="D2099" s="514">
        <v>0</v>
      </c>
      <c r="E2099" s="514">
        <v>0</v>
      </c>
      <c r="F2099" s="514">
        <v>0</v>
      </c>
      <c r="G2099" s="514">
        <v>0</v>
      </c>
      <c r="H2099" s="514">
        <v>0</v>
      </c>
      <c r="I2099" s="514">
        <v>0</v>
      </c>
      <c r="J2099" s="514">
        <v>0</v>
      </c>
      <c r="K2099" s="514">
        <v>0</v>
      </c>
      <c r="L2099" s="514">
        <v>0</v>
      </c>
      <c r="M2099" s="514">
        <v>0</v>
      </c>
      <c r="N2099" s="514">
        <v>0</v>
      </c>
      <c r="O2099" s="499"/>
      <c r="P2099" s="499"/>
      <c r="Q2099" s="499"/>
    </row>
    <row r="2100" spans="1:17" ht="14.4" x14ac:dyDescent="0.3">
      <c r="A2100" s="502">
        <v>6900048</v>
      </c>
      <c r="B2100" s="503" t="s">
        <v>1538</v>
      </c>
      <c r="C2100" s="514">
        <v>0</v>
      </c>
      <c r="D2100" s="514">
        <v>0</v>
      </c>
      <c r="E2100" s="514">
        <v>0</v>
      </c>
      <c r="F2100" s="514">
        <v>0</v>
      </c>
      <c r="G2100" s="514">
        <v>0</v>
      </c>
      <c r="H2100" s="514">
        <v>0</v>
      </c>
      <c r="I2100" s="514">
        <v>0</v>
      </c>
      <c r="J2100" s="514">
        <v>0</v>
      </c>
      <c r="K2100" s="514">
        <v>0</v>
      </c>
      <c r="L2100" s="514">
        <v>0</v>
      </c>
      <c r="M2100" s="514">
        <v>0</v>
      </c>
      <c r="N2100" s="514">
        <v>0</v>
      </c>
      <c r="O2100" s="499"/>
      <c r="P2100" s="499"/>
      <c r="Q2100" s="499"/>
    </row>
    <row r="2101" spans="1:17" ht="14.4" x14ac:dyDescent="0.3">
      <c r="A2101" s="502">
        <v>6900049</v>
      </c>
      <c r="B2101" s="503" t="s">
        <v>1540</v>
      </c>
      <c r="C2101" s="514">
        <v>692864.79</v>
      </c>
      <c r="D2101" s="514">
        <v>649170.16</v>
      </c>
      <c r="E2101" s="514">
        <v>563162.34</v>
      </c>
      <c r="F2101" s="514">
        <v>661293.13</v>
      </c>
      <c r="G2101" s="514">
        <v>958509.26</v>
      </c>
      <c r="H2101" s="514">
        <v>551567.39</v>
      </c>
      <c r="I2101" s="514">
        <v>668114.13</v>
      </c>
      <c r="J2101" s="514">
        <v>593449.25</v>
      </c>
      <c r="K2101" s="514">
        <v>607964.22</v>
      </c>
      <c r="L2101" s="514">
        <v>613140.06000000006</v>
      </c>
      <c r="M2101" s="514">
        <v>767793.29</v>
      </c>
      <c r="N2101" s="514">
        <v>580558.78</v>
      </c>
      <c r="O2101" s="499"/>
      <c r="P2101" s="499"/>
      <c r="Q2101" s="499"/>
    </row>
    <row r="2102" spans="1:17" ht="14.4" x14ac:dyDescent="0.3">
      <c r="A2102" s="502">
        <v>6900050</v>
      </c>
      <c r="B2102" s="503" t="s">
        <v>3519</v>
      </c>
      <c r="C2102" s="514">
        <v>0</v>
      </c>
      <c r="D2102" s="514">
        <v>0</v>
      </c>
      <c r="E2102" s="514">
        <v>0</v>
      </c>
      <c r="F2102" s="514">
        <v>0</v>
      </c>
      <c r="G2102" s="514">
        <v>0</v>
      </c>
      <c r="H2102" s="514">
        <v>0</v>
      </c>
      <c r="I2102" s="514">
        <v>0</v>
      </c>
      <c r="J2102" s="514">
        <v>0</v>
      </c>
      <c r="K2102" s="514">
        <v>0</v>
      </c>
      <c r="L2102" s="514">
        <v>0</v>
      </c>
      <c r="M2102" s="514">
        <v>0</v>
      </c>
      <c r="N2102" s="514">
        <v>0</v>
      </c>
      <c r="O2102" s="499"/>
      <c r="P2102" s="499"/>
      <c r="Q2102" s="499"/>
    </row>
    <row r="2103" spans="1:17" ht="14.4" x14ac:dyDescent="0.3">
      <c r="A2103" s="502">
        <v>6900060</v>
      </c>
      <c r="B2103" s="503" t="s">
        <v>1542</v>
      </c>
      <c r="C2103" s="514">
        <v>0</v>
      </c>
      <c r="D2103" s="514">
        <v>0</v>
      </c>
      <c r="E2103" s="514">
        <v>0</v>
      </c>
      <c r="F2103" s="514">
        <v>0</v>
      </c>
      <c r="G2103" s="514">
        <v>0</v>
      </c>
      <c r="H2103" s="514">
        <v>0</v>
      </c>
      <c r="I2103" s="514">
        <v>0</v>
      </c>
      <c r="J2103" s="514">
        <v>0</v>
      </c>
      <c r="K2103" s="514">
        <v>0</v>
      </c>
      <c r="L2103" s="514">
        <v>0</v>
      </c>
      <c r="M2103" s="514">
        <v>0</v>
      </c>
      <c r="N2103" s="514">
        <v>0</v>
      </c>
      <c r="O2103" s="499"/>
      <c r="P2103" s="499"/>
      <c r="Q2103" s="499"/>
    </row>
    <row r="2104" spans="1:17" ht="14.4" x14ac:dyDescent="0.3">
      <c r="A2104" s="502">
        <v>6900061</v>
      </c>
      <c r="B2104" s="503" t="s">
        <v>1544</v>
      </c>
      <c r="C2104" s="514">
        <v>0</v>
      </c>
      <c r="D2104" s="514">
        <v>0</v>
      </c>
      <c r="E2104" s="514">
        <v>0</v>
      </c>
      <c r="F2104" s="514">
        <v>0</v>
      </c>
      <c r="G2104" s="514">
        <v>0</v>
      </c>
      <c r="H2104" s="514">
        <v>0</v>
      </c>
      <c r="I2104" s="514">
        <v>0</v>
      </c>
      <c r="J2104" s="514">
        <v>0</v>
      </c>
      <c r="K2104" s="514">
        <v>0</v>
      </c>
      <c r="L2104" s="514">
        <v>0</v>
      </c>
      <c r="M2104" s="514">
        <v>0</v>
      </c>
      <c r="N2104" s="514">
        <v>0</v>
      </c>
      <c r="O2104" s="499"/>
      <c r="P2104" s="499"/>
      <c r="Q2104" s="499"/>
    </row>
    <row r="2105" spans="1:17" ht="14.4" x14ac:dyDescent="0.3">
      <c r="A2105" s="502">
        <v>6900065</v>
      </c>
      <c r="B2105" s="503" t="s">
        <v>1546</v>
      </c>
      <c r="C2105" s="514">
        <v>0</v>
      </c>
      <c r="D2105" s="514">
        <v>0</v>
      </c>
      <c r="E2105" s="514">
        <v>0</v>
      </c>
      <c r="F2105" s="514">
        <v>0</v>
      </c>
      <c r="G2105" s="514">
        <v>0</v>
      </c>
      <c r="H2105" s="514">
        <v>0</v>
      </c>
      <c r="I2105" s="514">
        <v>0</v>
      </c>
      <c r="J2105" s="514">
        <v>0</v>
      </c>
      <c r="K2105" s="514">
        <v>0</v>
      </c>
      <c r="L2105" s="514">
        <v>0</v>
      </c>
      <c r="M2105" s="514">
        <v>0</v>
      </c>
      <c r="N2105" s="514">
        <v>0</v>
      </c>
      <c r="O2105" s="499"/>
      <c r="P2105" s="499"/>
      <c r="Q2105" s="499"/>
    </row>
    <row r="2106" spans="1:17" ht="14.4" x14ac:dyDescent="0.3">
      <c r="A2106" s="502">
        <v>6900070</v>
      </c>
      <c r="B2106" s="503" t="s">
        <v>1548</v>
      </c>
      <c r="C2106" s="514">
        <v>0</v>
      </c>
      <c r="D2106" s="514">
        <v>0</v>
      </c>
      <c r="E2106" s="514">
        <v>0</v>
      </c>
      <c r="F2106" s="514">
        <v>0</v>
      </c>
      <c r="G2106" s="514">
        <v>0</v>
      </c>
      <c r="H2106" s="514">
        <v>0</v>
      </c>
      <c r="I2106" s="514">
        <v>0</v>
      </c>
      <c r="J2106" s="514">
        <v>0</v>
      </c>
      <c r="K2106" s="514">
        <v>0</v>
      </c>
      <c r="L2106" s="514">
        <v>0</v>
      </c>
      <c r="M2106" s="514">
        <v>0</v>
      </c>
      <c r="N2106" s="514">
        <v>0</v>
      </c>
      <c r="O2106" s="499"/>
      <c r="P2106" s="499"/>
      <c r="Q2106" s="499"/>
    </row>
    <row r="2107" spans="1:17" ht="14.4" x14ac:dyDescent="0.3">
      <c r="A2107" s="502">
        <v>6900080</v>
      </c>
      <c r="B2107" s="503" t="s">
        <v>1550</v>
      </c>
      <c r="C2107" s="514">
        <v>0</v>
      </c>
      <c r="D2107" s="514">
        <v>0</v>
      </c>
      <c r="E2107" s="514">
        <v>0</v>
      </c>
      <c r="F2107" s="514">
        <v>0</v>
      </c>
      <c r="G2107" s="514">
        <v>0</v>
      </c>
      <c r="H2107" s="514">
        <v>0</v>
      </c>
      <c r="I2107" s="514">
        <v>0</v>
      </c>
      <c r="J2107" s="514">
        <v>0</v>
      </c>
      <c r="K2107" s="514">
        <v>0</v>
      </c>
      <c r="L2107" s="514">
        <v>0</v>
      </c>
      <c r="M2107" s="514">
        <v>0</v>
      </c>
      <c r="N2107" s="514">
        <v>0</v>
      </c>
      <c r="O2107" s="499"/>
      <c r="P2107" s="499"/>
      <c r="Q2107" s="499"/>
    </row>
    <row r="2108" spans="1:17" ht="14.4" x14ac:dyDescent="0.3">
      <c r="A2108" s="502">
        <v>6900090</v>
      </c>
      <c r="B2108" s="503" t="s">
        <v>3520</v>
      </c>
      <c r="C2108" s="514">
        <v>0</v>
      </c>
      <c r="D2108" s="514">
        <v>0</v>
      </c>
      <c r="E2108" s="514">
        <v>0</v>
      </c>
      <c r="F2108" s="514">
        <v>0</v>
      </c>
      <c r="G2108" s="514">
        <v>0</v>
      </c>
      <c r="H2108" s="514">
        <v>0</v>
      </c>
      <c r="I2108" s="514">
        <v>0</v>
      </c>
      <c r="J2108" s="514">
        <v>0</v>
      </c>
      <c r="K2108" s="514">
        <v>0</v>
      </c>
      <c r="L2108" s="514">
        <v>0</v>
      </c>
      <c r="M2108" s="514">
        <v>0</v>
      </c>
      <c r="N2108" s="514">
        <v>0</v>
      </c>
      <c r="O2108" s="499"/>
      <c r="P2108" s="499"/>
      <c r="Q2108" s="499"/>
    </row>
    <row r="2109" spans="1:17" ht="14.4" x14ac:dyDescent="0.3">
      <c r="A2109" s="502">
        <v>6900100</v>
      </c>
      <c r="B2109" s="503" t="s">
        <v>1552</v>
      </c>
      <c r="C2109" s="514">
        <v>0</v>
      </c>
      <c r="D2109" s="514">
        <v>0</v>
      </c>
      <c r="E2109" s="514">
        <v>0</v>
      </c>
      <c r="F2109" s="514">
        <v>0</v>
      </c>
      <c r="G2109" s="514">
        <v>0</v>
      </c>
      <c r="H2109" s="514">
        <v>0</v>
      </c>
      <c r="I2109" s="514">
        <v>0</v>
      </c>
      <c r="J2109" s="514">
        <v>0</v>
      </c>
      <c r="K2109" s="514">
        <v>0</v>
      </c>
      <c r="L2109" s="514">
        <v>0</v>
      </c>
      <c r="M2109" s="514">
        <v>0</v>
      </c>
      <c r="N2109" s="514">
        <v>0</v>
      </c>
      <c r="O2109" s="499"/>
      <c r="P2109" s="499"/>
      <c r="Q2109" s="499"/>
    </row>
    <row r="2110" spans="1:17" ht="14.4" x14ac:dyDescent="0.3">
      <c r="A2110" s="502">
        <v>6900110</v>
      </c>
      <c r="B2110" s="503" t="s">
        <v>1554</v>
      </c>
      <c r="C2110" s="514">
        <v>0</v>
      </c>
      <c r="D2110" s="514">
        <v>0</v>
      </c>
      <c r="E2110" s="514">
        <v>0</v>
      </c>
      <c r="F2110" s="514">
        <v>0</v>
      </c>
      <c r="G2110" s="514">
        <v>0</v>
      </c>
      <c r="H2110" s="514">
        <v>0</v>
      </c>
      <c r="I2110" s="514">
        <v>0</v>
      </c>
      <c r="J2110" s="514">
        <v>0</v>
      </c>
      <c r="K2110" s="514">
        <v>0</v>
      </c>
      <c r="L2110" s="514">
        <v>0</v>
      </c>
      <c r="M2110" s="514">
        <v>0</v>
      </c>
      <c r="N2110" s="514">
        <v>0</v>
      </c>
      <c r="O2110" s="499"/>
      <c r="P2110" s="499"/>
      <c r="Q2110" s="499"/>
    </row>
    <row r="2111" spans="1:17" ht="14.4" x14ac:dyDescent="0.3">
      <c r="A2111" s="502">
        <v>6900120</v>
      </c>
      <c r="B2111" s="503" t="s">
        <v>1556</v>
      </c>
      <c r="C2111" s="514">
        <v>0</v>
      </c>
      <c r="D2111" s="514">
        <v>0</v>
      </c>
      <c r="E2111" s="514">
        <v>0</v>
      </c>
      <c r="F2111" s="514">
        <v>0</v>
      </c>
      <c r="G2111" s="514">
        <v>0</v>
      </c>
      <c r="H2111" s="514">
        <v>0</v>
      </c>
      <c r="I2111" s="514">
        <v>0</v>
      </c>
      <c r="J2111" s="514">
        <v>0</v>
      </c>
      <c r="K2111" s="514">
        <v>0</v>
      </c>
      <c r="L2111" s="514">
        <v>0</v>
      </c>
      <c r="M2111" s="514">
        <v>0</v>
      </c>
      <c r="N2111" s="514">
        <v>0</v>
      </c>
      <c r="O2111" s="499"/>
      <c r="P2111" s="499"/>
      <c r="Q2111" s="499"/>
    </row>
    <row r="2112" spans="1:17" ht="14.4" x14ac:dyDescent="0.3">
      <c r="A2112" s="502">
        <v>6900800</v>
      </c>
      <c r="B2112" s="503" t="s">
        <v>1558</v>
      </c>
      <c r="C2112" s="514">
        <v>660266.22</v>
      </c>
      <c r="D2112" s="514">
        <v>616571.59</v>
      </c>
      <c r="E2112" s="514">
        <v>530563.77</v>
      </c>
      <c r="F2112" s="514">
        <v>628694.56000000006</v>
      </c>
      <c r="G2112" s="514">
        <v>925910.69</v>
      </c>
      <c r="H2112" s="514">
        <v>518968.82</v>
      </c>
      <c r="I2112" s="514">
        <v>635515.56000000006</v>
      </c>
      <c r="J2112" s="514">
        <v>560850.68000000005</v>
      </c>
      <c r="K2112" s="514">
        <v>575365.65</v>
      </c>
      <c r="L2112" s="514">
        <v>580541.49</v>
      </c>
      <c r="M2112" s="514">
        <v>735194.72</v>
      </c>
      <c r="N2112" s="514">
        <v>547960.21</v>
      </c>
      <c r="O2112" s="499"/>
      <c r="P2112" s="499"/>
      <c r="Q2112" s="499"/>
    </row>
    <row r="2113" spans="1:17" ht="14.4" x14ac:dyDescent="0.3">
      <c r="A2113" s="502">
        <v>6909000</v>
      </c>
      <c r="B2113" s="503" t="s">
        <v>1560</v>
      </c>
      <c r="C2113" s="514">
        <v>0</v>
      </c>
      <c r="D2113" s="514">
        <v>0</v>
      </c>
      <c r="E2113" s="514">
        <v>0</v>
      </c>
      <c r="F2113" s="514">
        <v>0</v>
      </c>
      <c r="G2113" s="514">
        <v>0</v>
      </c>
      <c r="H2113" s="514">
        <v>0</v>
      </c>
      <c r="I2113" s="514">
        <v>0</v>
      </c>
      <c r="J2113" s="514">
        <v>0</v>
      </c>
      <c r="K2113" s="514">
        <v>0</v>
      </c>
      <c r="L2113" s="514">
        <v>0</v>
      </c>
      <c r="M2113" s="514">
        <v>0</v>
      </c>
      <c r="N2113" s="514">
        <v>0</v>
      </c>
      <c r="O2113" s="499"/>
      <c r="P2113" s="499"/>
      <c r="Q2113" s="499"/>
    </row>
    <row r="2114" spans="1:17" ht="14.4" x14ac:dyDescent="0.3">
      <c r="A2114" s="502">
        <v>7000070</v>
      </c>
      <c r="B2114" s="503" t="s">
        <v>3521</v>
      </c>
      <c r="C2114" s="514">
        <v>0</v>
      </c>
      <c r="D2114" s="514">
        <v>0</v>
      </c>
      <c r="E2114" s="514">
        <v>0</v>
      </c>
      <c r="F2114" s="514">
        <v>0</v>
      </c>
      <c r="G2114" s="514">
        <v>0</v>
      </c>
      <c r="H2114" s="514">
        <v>0</v>
      </c>
      <c r="I2114" s="514">
        <v>0</v>
      </c>
      <c r="J2114" s="514">
        <v>0</v>
      </c>
      <c r="K2114" s="514">
        <v>0</v>
      </c>
      <c r="L2114" s="514">
        <v>0</v>
      </c>
      <c r="M2114" s="514">
        <v>0</v>
      </c>
      <c r="N2114" s="514">
        <v>0</v>
      </c>
      <c r="O2114" s="499"/>
      <c r="P2114" s="499"/>
      <c r="Q2114" s="499"/>
    </row>
    <row r="2115" spans="1:17" ht="14.4" x14ac:dyDescent="0.3">
      <c r="A2115" s="502">
        <v>7000080</v>
      </c>
      <c r="B2115" s="503" t="s">
        <v>3522</v>
      </c>
      <c r="C2115" s="514">
        <v>0</v>
      </c>
      <c r="D2115" s="514">
        <v>0</v>
      </c>
      <c r="E2115" s="514">
        <v>0</v>
      </c>
      <c r="F2115" s="514">
        <v>0</v>
      </c>
      <c r="G2115" s="514">
        <v>0</v>
      </c>
      <c r="H2115" s="514">
        <v>0</v>
      </c>
      <c r="I2115" s="514">
        <v>0</v>
      </c>
      <c r="J2115" s="514">
        <v>0</v>
      </c>
      <c r="K2115" s="514">
        <v>0</v>
      </c>
      <c r="L2115" s="514">
        <v>0</v>
      </c>
      <c r="M2115" s="514">
        <v>0</v>
      </c>
      <c r="N2115" s="514">
        <v>0</v>
      </c>
      <c r="O2115" s="499"/>
      <c r="P2115" s="499"/>
      <c r="Q2115" s="499"/>
    </row>
    <row r="2116" spans="1:17" ht="14.4" x14ac:dyDescent="0.3">
      <c r="A2116" s="502">
        <v>7000090</v>
      </c>
      <c r="B2116" s="503" t="s">
        <v>3523</v>
      </c>
      <c r="C2116" s="514">
        <v>0</v>
      </c>
      <c r="D2116" s="514">
        <v>0</v>
      </c>
      <c r="E2116" s="514">
        <v>0</v>
      </c>
      <c r="F2116" s="514">
        <v>0</v>
      </c>
      <c r="G2116" s="514">
        <v>0</v>
      </c>
      <c r="H2116" s="514">
        <v>0</v>
      </c>
      <c r="I2116" s="514">
        <v>0</v>
      </c>
      <c r="J2116" s="514">
        <v>0</v>
      </c>
      <c r="K2116" s="514">
        <v>0</v>
      </c>
      <c r="L2116" s="514">
        <v>0</v>
      </c>
      <c r="M2116" s="514">
        <v>0</v>
      </c>
      <c r="N2116" s="514">
        <v>0</v>
      </c>
      <c r="O2116" s="499"/>
      <c r="P2116" s="499"/>
      <c r="Q2116" s="499"/>
    </row>
    <row r="2117" spans="1:17" ht="14.4" x14ac:dyDescent="0.3">
      <c r="A2117" s="502">
        <v>7000220</v>
      </c>
      <c r="B2117" s="503" t="s">
        <v>1596</v>
      </c>
      <c r="C2117" s="514">
        <v>0</v>
      </c>
      <c r="D2117" s="514">
        <v>0</v>
      </c>
      <c r="E2117" s="514">
        <v>0</v>
      </c>
      <c r="F2117" s="514">
        <v>0</v>
      </c>
      <c r="G2117" s="514">
        <v>0</v>
      </c>
      <c r="H2117" s="514">
        <v>0</v>
      </c>
      <c r="I2117" s="514">
        <v>0</v>
      </c>
      <c r="J2117" s="514">
        <v>0</v>
      </c>
      <c r="K2117" s="514">
        <v>0</v>
      </c>
      <c r="L2117" s="514">
        <v>0</v>
      </c>
      <c r="M2117" s="514">
        <v>0</v>
      </c>
      <c r="N2117" s="514">
        <v>0</v>
      </c>
      <c r="O2117" s="499"/>
      <c r="P2117" s="499"/>
      <c r="Q2117" s="499"/>
    </row>
    <row r="2118" spans="1:17" ht="14.4" x14ac:dyDescent="0.3">
      <c r="A2118" s="502">
        <v>7000230</v>
      </c>
      <c r="B2118" s="503" t="s">
        <v>1598</v>
      </c>
      <c r="C2118" s="514">
        <v>0</v>
      </c>
      <c r="D2118" s="514">
        <v>0</v>
      </c>
      <c r="E2118" s="514">
        <v>0</v>
      </c>
      <c r="F2118" s="514">
        <v>0</v>
      </c>
      <c r="G2118" s="514">
        <v>0</v>
      </c>
      <c r="H2118" s="514">
        <v>0</v>
      </c>
      <c r="I2118" s="514">
        <v>0</v>
      </c>
      <c r="J2118" s="514">
        <v>0</v>
      </c>
      <c r="K2118" s="514">
        <v>0</v>
      </c>
      <c r="L2118" s="514">
        <v>0</v>
      </c>
      <c r="M2118" s="514">
        <v>0</v>
      </c>
      <c r="N2118" s="514">
        <v>0</v>
      </c>
      <c r="O2118" s="499"/>
      <c r="P2118" s="499"/>
      <c r="Q2118" s="499"/>
    </row>
    <row r="2119" spans="1:17" ht="14.4" x14ac:dyDescent="0.3">
      <c r="A2119" s="502">
        <v>7000240</v>
      </c>
      <c r="B2119" s="503" t="s">
        <v>3524</v>
      </c>
      <c r="C2119" s="514">
        <v>0</v>
      </c>
      <c r="D2119" s="514">
        <v>0</v>
      </c>
      <c r="E2119" s="514">
        <v>0</v>
      </c>
      <c r="F2119" s="514">
        <v>0</v>
      </c>
      <c r="G2119" s="514">
        <v>0</v>
      </c>
      <c r="H2119" s="514">
        <v>0</v>
      </c>
      <c r="I2119" s="514">
        <v>0</v>
      </c>
      <c r="J2119" s="514">
        <v>0</v>
      </c>
      <c r="K2119" s="514">
        <v>0</v>
      </c>
      <c r="L2119" s="514">
        <v>0</v>
      </c>
      <c r="M2119" s="514">
        <v>0</v>
      </c>
      <c r="N2119" s="514">
        <v>0</v>
      </c>
      <c r="O2119" s="499"/>
      <c r="P2119" s="499"/>
      <c r="Q2119" s="499"/>
    </row>
    <row r="2120" spans="1:17" ht="14.4" x14ac:dyDescent="0.3">
      <c r="A2120" s="502">
        <v>7000250</v>
      </c>
      <c r="B2120" s="503" t="s">
        <v>3525</v>
      </c>
      <c r="C2120" s="514">
        <v>0</v>
      </c>
      <c r="D2120" s="514">
        <v>0</v>
      </c>
      <c r="E2120" s="514">
        <v>0</v>
      </c>
      <c r="F2120" s="514">
        <v>0</v>
      </c>
      <c r="G2120" s="514">
        <v>0</v>
      </c>
      <c r="H2120" s="514">
        <v>0</v>
      </c>
      <c r="I2120" s="514">
        <v>0</v>
      </c>
      <c r="J2120" s="514">
        <v>0</v>
      </c>
      <c r="K2120" s="514">
        <v>0</v>
      </c>
      <c r="L2120" s="514">
        <v>0</v>
      </c>
      <c r="M2120" s="514">
        <v>0</v>
      </c>
      <c r="N2120" s="514">
        <v>0</v>
      </c>
      <c r="O2120" s="499"/>
      <c r="P2120" s="499"/>
      <c r="Q2120" s="499"/>
    </row>
    <row r="2121" spans="1:17" ht="14.4" x14ac:dyDescent="0.3">
      <c r="A2121" s="502">
        <v>7000260</v>
      </c>
      <c r="B2121" s="503" t="s">
        <v>3526</v>
      </c>
      <c r="C2121" s="514">
        <v>0</v>
      </c>
      <c r="D2121" s="514">
        <v>0</v>
      </c>
      <c r="E2121" s="514">
        <v>0</v>
      </c>
      <c r="F2121" s="514">
        <v>0</v>
      </c>
      <c r="G2121" s="514">
        <v>0</v>
      </c>
      <c r="H2121" s="514">
        <v>0</v>
      </c>
      <c r="I2121" s="514">
        <v>0</v>
      </c>
      <c r="J2121" s="514">
        <v>0</v>
      </c>
      <c r="K2121" s="514">
        <v>0</v>
      </c>
      <c r="L2121" s="514">
        <v>0</v>
      </c>
      <c r="M2121" s="514">
        <v>0</v>
      </c>
      <c r="N2121" s="514">
        <v>0</v>
      </c>
      <c r="O2121" s="499"/>
      <c r="P2121" s="499"/>
      <c r="Q2121" s="499"/>
    </row>
    <row r="2122" spans="1:17" ht="14.4" x14ac:dyDescent="0.3">
      <c r="A2122" s="502">
        <v>7000270</v>
      </c>
      <c r="B2122" s="503" t="s">
        <v>3527</v>
      </c>
      <c r="C2122" s="514">
        <v>0</v>
      </c>
      <c r="D2122" s="514">
        <v>0</v>
      </c>
      <c r="E2122" s="514">
        <v>0</v>
      </c>
      <c r="F2122" s="514">
        <v>0</v>
      </c>
      <c r="G2122" s="514">
        <v>0</v>
      </c>
      <c r="H2122" s="514">
        <v>0</v>
      </c>
      <c r="I2122" s="514">
        <v>0</v>
      </c>
      <c r="J2122" s="514">
        <v>0</v>
      </c>
      <c r="K2122" s="514">
        <v>0</v>
      </c>
      <c r="L2122" s="514">
        <v>0</v>
      </c>
      <c r="M2122" s="514">
        <v>0</v>
      </c>
      <c r="N2122" s="514">
        <v>0</v>
      </c>
      <c r="O2122" s="499"/>
      <c r="P2122" s="499"/>
      <c r="Q2122" s="499"/>
    </row>
    <row r="2123" spans="1:17" ht="14.4" x14ac:dyDescent="0.3">
      <c r="A2123" s="502">
        <v>7000271</v>
      </c>
      <c r="B2123" s="503" t="s">
        <v>3528</v>
      </c>
      <c r="C2123" s="514">
        <v>0</v>
      </c>
      <c r="D2123" s="514">
        <v>0</v>
      </c>
      <c r="E2123" s="514">
        <v>0</v>
      </c>
      <c r="F2123" s="514">
        <v>0</v>
      </c>
      <c r="G2123" s="514">
        <v>0</v>
      </c>
      <c r="H2123" s="514">
        <v>0</v>
      </c>
      <c r="I2123" s="514">
        <v>0</v>
      </c>
      <c r="J2123" s="514">
        <v>0</v>
      </c>
      <c r="K2123" s="514">
        <v>0</v>
      </c>
      <c r="L2123" s="514">
        <v>0</v>
      </c>
      <c r="M2123" s="514">
        <v>0</v>
      </c>
      <c r="N2123" s="514">
        <v>0</v>
      </c>
      <c r="O2123" s="499"/>
      <c r="P2123" s="499"/>
      <c r="Q2123" s="499"/>
    </row>
    <row r="2124" spans="1:17" ht="14.4" x14ac:dyDescent="0.3">
      <c r="A2124" s="502">
        <v>7000290</v>
      </c>
      <c r="B2124" s="503" t="s">
        <v>3529</v>
      </c>
      <c r="C2124" s="514">
        <v>0</v>
      </c>
      <c r="D2124" s="514">
        <v>0</v>
      </c>
      <c r="E2124" s="514">
        <v>0</v>
      </c>
      <c r="F2124" s="514">
        <v>0</v>
      </c>
      <c r="G2124" s="514">
        <v>0</v>
      </c>
      <c r="H2124" s="514">
        <v>0</v>
      </c>
      <c r="I2124" s="514">
        <v>0</v>
      </c>
      <c r="J2124" s="514">
        <v>0</v>
      </c>
      <c r="K2124" s="514">
        <v>0</v>
      </c>
      <c r="L2124" s="514">
        <v>0</v>
      </c>
      <c r="M2124" s="514">
        <v>0</v>
      </c>
      <c r="N2124" s="514">
        <v>0</v>
      </c>
      <c r="O2124" s="499"/>
      <c r="P2124" s="499"/>
      <c r="Q2124" s="499"/>
    </row>
    <row r="2125" spans="1:17" ht="14.4" x14ac:dyDescent="0.3">
      <c r="A2125" s="502">
        <v>7000291</v>
      </c>
      <c r="B2125" s="503" t="s">
        <v>1640</v>
      </c>
      <c r="C2125" s="514">
        <v>0</v>
      </c>
      <c r="D2125" s="514">
        <v>0</v>
      </c>
      <c r="E2125" s="514">
        <v>0</v>
      </c>
      <c r="F2125" s="514">
        <v>0</v>
      </c>
      <c r="G2125" s="514">
        <v>0</v>
      </c>
      <c r="H2125" s="514">
        <v>0</v>
      </c>
      <c r="I2125" s="514">
        <v>0</v>
      </c>
      <c r="J2125" s="514">
        <v>0</v>
      </c>
      <c r="K2125" s="514">
        <v>0</v>
      </c>
      <c r="L2125" s="514">
        <v>0</v>
      </c>
      <c r="M2125" s="514">
        <v>0</v>
      </c>
      <c r="N2125" s="514">
        <v>0</v>
      </c>
      <c r="O2125" s="499"/>
      <c r="P2125" s="499"/>
      <c r="Q2125" s="499"/>
    </row>
    <row r="2126" spans="1:17" ht="14.4" x14ac:dyDescent="0.3">
      <c r="A2126" s="502">
        <v>7000700</v>
      </c>
      <c r="B2126" s="503" t="s">
        <v>1650</v>
      </c>
      <c r="C2126" s="514">
        <v>0</v>
      </c>
      <c r="D2126" s="514">
        <v>0</v>
      </c>
      <c r="E2126" s="514">
        <v>0</v>
      </c>
      <c r="F2126" s="514">
        <v>0</v>
      </c>
      <c r="G2126" s="514">
        <v>0</v>
      </c>
      <c r="H2126" s="514">
        <v>0</v>
      </c>
      <c r="I2126" s="514">
        <v>0</v>
      </c>
      <c r="J2126" s="514">
        <v>0</v>
      </c>
      <c r="K2126" s="514">
        <v>0</v>
      </c>
      <c r="L2126" s="514">
        <v>0</v>
      </c>
      <c r="M2126" s="514">
        <v>0</v>
      </c>
      <c r="N2126" s="514">
        <v>0</v>
      </c>
      <c r="O2126" s="499"/>
      <c r="P2126" s="499"/>
      <c r="Q2126" s="499"/>
    </row>
    <row r="2127" spans="1:17" ht="14.4" x14ac:dyDescent="0.3">
      <c r="A2127" s="502">
        <v>7000800</v>
      </c>
      <c r="B2127" s="503" t="s">
        <v>1600</v>
      </c>
      <c r="C2127" s="514">
        <v>0</v>
      </c>
      <c r="D2127" s="514">
        <v>0</v>
      </c>
      <c r="E2127" s="514">
        <v>0</v>
      </c>
      <c r="F2127" s="514">
        <v>0</v>
      </c>
      <c r="G2127" s="514">
        <v>0</v>
      </c>
      <c r="H2127" s="514">
        <v>0</v>
      </c>
      <c r="I2127" s="514">
        <v>0</v>
      </c>
      <c r="J2127" s="514">
        <v>0</v>
      </c>
      <c r="K2127" s="514">
        <v>0</v>
      </c>
      <c r="L2127" s="514">
        <v>0</v>
      </c>
      <c r="M2127" s="514">
        <v>0</v>
      </c>
      <c r="N2127" s="514">
        <v>0</v>
      </c>
      <c r="O2127" s="499"/>
      <c r="P2127" s="499"/>
      <c r="Q2127" s="499"/>
    </row>
    <row r="2128" spans="1:17" ht="14.4" x14ac:dyDescent="0.3">
      <c r="A2128" s="502">
        <v>7009000</v>
      </c>
      <c r="B2128" s="503" t="s">
        <v>3530</v>
      </c>
      <c r="C2128" s="514">
        <v>0</v>
      </c>
      <c r="D2128" s="514">
        <v>0</v>
      </c>
      <c r="E2128" s="514">
        <v>0</v>
      </c>
      <c r="F2128" s="514">
        <v>0</v>
      </c>
      <c r="G2128" s="514">
        <v>0</v>
      </c>
      <c r="H2128" s="514">
        <v>0</v>
      </c>
      <c r="I2128" s="514">
        <v>0</v>
      </c>
      <c r="J2128" s="514">
        <v>0</v>
      </c>
      <c r="K2128" s="514">
        <v>0</v>
      </c>
      <c r="L2128" s="514">
        <v>0</v>
      </c>
      <c r="M2128" s="514">
        <v>0</v>
      </c>
      <c r="N2128" s="514">
        <v>0</v>
      </c>
      <c r="O2128" s="499"/>
      <c r="P2128" s="499"/>
      <c r="Q2128" s="499"/>
    </row>
    <row r="2129" spans="1:17" ht="14.4" x14ac:dyDescent="0.3">
      <c r="A2129" s="502">
        <v>7100010</v>
      </c>
      <c r="B2129" s="503" t="s">
        <v>1590</v>
      </c>
      <c r="C2129" s="514">
        <v>2951770.48</v>
      </c>
      <c r="D2129" s="514">
        <v>3174287.78</v>
      </c>
      <c r="E2129" s="514">
        <v>3278478.14</v>
      </c>
      <c r="F2129" s="514">
        <v>3262116.91</v>
      </c>
      <c r="G2129" s="514">
        <v>2802196.76</v>
      </c>
      <c r="H2129" s="514">
        <v>1860842.97</v>
      </c>
      <c r="I2129" s="514">
        <v>1412232.74</v>
      </c>
      <c r="J2129" s="514">
        <v>1560438.5</v>
      </c>
      <c r="K2129" s="514">
        <v>1699179.71</v>
      </c>
      <c r="L2129" s="514">
        <v>1841031.24</v>
      </c>
      <c r="M2129" s="514">
        <v>1981047.15</v>
      </c>
      <c r="N2129" s="514">
        <v>1560912.57</v>
      </c>
      <c r="O2129" s="499"/>
      <c r="P2129" s="499"/>
      <c r="Q2129" s="499"/>
    </row>
    <row r="2130" spans="1:17" ht="14.4" x14ac:dyDescent="0.3">
      <c r="A2130" s="502">
        <v>7100015</v>
      </c>
      <c r="B2130" s="503" t="s">
        <v>1602</v>
      </c>
      <c r="C2130" s="514">
        <v>0</v>
      </c>
      <c r="D2130" s="514">
        <v>0</v>
      </c>
      <c r="E2130" s="514">
        <v>0</v>
      </c>
      <c r="F2130" s="514">
        <v>0</v>
      </c>
      <c r="G2130" s="514">
        <v>0</v>
      </c>
      <c r="H2130" s="514">
        <v>0</v>
      </c>
      <c r="I2130" s="514">
        <v>0</v>
      </c>
      <c r="J2130" s="514">
        <v>0</v>
      </c>
      <c r="K2130" s="514">
        <v>0</v>
      </c>
      <c r="L2130" s="514">
        <v>0</v>
      </c>
      <c r="M2130" s="514">
        <v>0</v>
      </c>
      <c r="N2130" s="514">
        <v>0</v>
      </c>
      <c r="O2130" s="499"/>
      <c r="P2130" s="499"/>
      <c r="Q2130" s="499"/>
    </row>
    <row r="2131" spans="1:17" ht="14.4" x14ac:dyDescent="0.3">
      <c r="A2131" s="502">
        <v>7100020</v>
      </c>
      <c r="B2131" s="503" t="s">
        <v>3531</v>
      </c>
      <c r="C2131" s="514">
        <v>0</v>
      </c>
      <c r="D2131" s="514">
        <v>0</v>
      </c>
      <c r="E2131" s="514">
        <v>0</v>
      </c>
      <c r="F2131" s="514">
        <v>0</v>
      </c>
      <c r="G2131" s="514">
        <v>0</v>
      </c>
      <c r="H2131" s="514">
        <v>0</v>
      </c>
      <c r="I2131" s="514">
        <v>0</v>
      </c>
      <c r="J2131" s="514">
        <v>0</v>
      </c>
      <c r="K2131" s="514">
        <v>0</v>
      </c>
      <c r="L2131" s="514">
        <v>0</v>
      </c>
      <c r="M2131" s="514">
        <v>0</v>
      </c>
      <c r="N2131" s="514">
        <v>0</v>
      </c>
      <c r="O2131" s="499"/>
      <c r="P2131" s="499"/>
      <c r="Q2131" s="499"/>
    </row>
    <row r="2132" spans="1:17" ht="14.4" x14ac:dyDescent="0.3">
      <c r="A2132" s="502">
        <v>7100400</v>
      </c>
      <c r="B2132" s="503" t="s">
        <v>1656</v>
      </c>
      <c r="C2132" s="514">
        <v>0</v>
      </c>
      <c r="D2132" s="514">
        <v>0</v>
      </c>
      <c r="E2132" s="514">
        <v>0</v>
      </c>
      <c r="F2132" s="514">
        <v>0</v>
      </c>
      <c r="G2132" s="514">
        <v>0</v>
      </c>
      <c r="H2132" s="514">
        <v>0</v>
      </c>
      <c r="I2132" s="514">
        <v>0</v>
      </c>
      <c r="J2132" s="514">
        <v>0</v>
      </c>
      <c r="K2132" s="514">
        <v>0</v>
      </c>
      <c r="L2132" s="514">
        <v>0</v>
      </c>
      <c r="M2132" s="514">
        <v>0</v>
      </c>
      <c r="N2132" s="514">
        <v>0</v>
      </c>
      <c r="O2132" s="499"/>
      <c r="P2132" s="499"/>
      <c r="Q2132" s="499"/>
    </row>
    <row r="2133" spans="1:17" ht="14.4" x14ac:dyDescent="0.3">
      <c r="A2133" s="502">
        <v>7100410</v>
      </c>
      <c r="B2133" s="503" t="s">
        <v>3532</v>
      </c>
      <c r="C2133" s="514">
        <v>0</v>
      </c>
      <c r="D2133" s="514">
        <v>0</v>
      </c>
      <c r="E2133" s="514">
        <v>0</v>
      </c>
      <c r="F2133" s="514">
        <v>0</v>
      </c>
      <c r="G2133" s="514">
        <v>0</v>
      </c>
      <c r="H2133" s="514">
        <v>0</v>
      </c>
      <c r="I2133" s="514">
        <v>0</v>
      </c>
      <c r="J2133" s="514">
        <v>0</v>
      </c>
      <c r="K2133" s="514">
        <v>0</v>
      </c>
      <c r="L2133" s="514">
        <v>0</v>
      </c>
      <c r="M2133" s="514">
        <v>0</v>
      </c>
      <c r="N2133" s="514">
        <v>0</v>
      </c>
      <c r="O2133" s="499"/>
      <c r="P2133" s="499"/>
      <c r="Q2133" s="499"/>
    </row>
    <row r="2134" spans="1:17" ht="14.4" x14ac:dyDescent="0.3">
      <c r="A2134" s="502">
        <v>7100420</v>
      </c>
      <c r="B2134" s="503" t="s">
        <v>3533</v>
      </c>
      <c r="C2134" s="514">
        <v>0</v>
      </c>
      <c r="D2134" s="514">
        <v>0</v>
      </c>
      <c r="E2134" s="514">
        <v>0</v>
      </c>
      <c r="F2134" s="514">
        <v>0</v>
      </c>
      <c r="G2134" s="514">
        <v>0</v>
      </c>
      <c r="H2134" s="514">
        <v>0</v>
      </c>
      <c r="I2134" s="514">
        <v>0</v>
      </c>
      <c r="J2134" s="514">
        <v>0</v>
      </c>
      <c r="K2134" s="514">
        <v>0</v>
      </c>
      <c r="L2134" s="514">
        <v>0</v>
      </c>
      <c r="M2134" s="514">
        <v>0</v>
      </c>
      <c r="N2134" s="514">
        <v>0</v>
      </c>
      <c r="O2134" s="499"/>
      <c r="P2134" s="499"/>
      <c r="Q2134" s="499"/>
    </row>
    <row r="2135" spans="1:17" ht="14.4" x14ac:dyDescent="0.3">
      <c r="A2135" s="502">
        <v>7100430</v>
      </c>
      <c r="B2135" s="503" t="s">
        <v>3534</v>
      </c>
      <c r="C2135" s="514">
        <v>0</v>
      </c>
      <c r="D2135" s="514">
        <v>0</v>
      </c>
      <c r="E2135" s="514">
        <v>0</v>
      </c>
      <c r="F2135" s="514">
        <v>0</v>
      </c>
      <c r="G2135" s="514">
        <v>0</v>
      </c>
      <c r="H2135" s="514">
        <v>0</v>
      </c>
      <c r="I2135" s="514">
        <v>0</v>
      </c>
      <c r="J2135" s="514">
        <v>0</v>
      </c>
      <c r="K2135" s="514">
        <v>0</v>
      </c>
      <c r="L2135" s="514">
        <v>0</v>
      </c>
      <c r="M2135" s="514">
        <v>0</v>
      </c>
      <c r="N2135" s="514">
        <v>0</v>
      </c>
      <c r="O2135" s="499"/>
      <c r="P2135" s="499"/>
      <c r="Q2135" s="499"/>
    </row>
    <row r="2136" spans="1:17" ht="14.4" x14ac:dyDescent="0.3">
      <c r="A2136" s="502">
        <v>7100440</v>
      </c>
      <c r="B2136" s="503" t="s">
        <v>3535</v>
      </c>
      <c r="C2136" s="514">
        <v>0</v>
      </c>
      <c r="D2136" s="514">
        <v>0</v>
      </c>
      <c r="E2136" s="514">
        <v>0</v>
      </c>
      <c r="F2136" s="514">
        <v>0</v>
      </c>
      <c r="G2136" s="514">
        <v>0</v>
      </c>
      <c r="H2136" s="514">
        <v>0</v>
      </c>
      <c r="I2136" s="514">
        <v>0</v>
      </c>
      <c r="J2136" s="514">
        <v>0</v>
      </c>
      <c r="K2136" s="514">
        <v>0</v>
      </c>
      <c r="L2136" s="514">
        <v>0</v>
      </c>
      <c r="M2136" s="514">
        <v>0</v>
      </c>
      <c r="N2136" s="514">
        <v>0</v>
      </c>
      <c r="O2136" s="499"/>
      <c r="P2136" s="499"/>
      <c r="Q2136" s="499"/>
    </row>
    <row r="2137" spans="1:17" ht="14.4" x14ac:dyDescent="0.3">
      <c r="A2137" s="502">
        <v>7100700</v>
      </c>
      <c r="B2137" s="503" t="s">
        <v>3536</v>
      </c>
      <c r="C2137" s="514">
        <v>0</v>
      </c>
      <c r="D2137" s="514">
        <v>0</v>
      </c>
      <c r="E2137" s="514">
        <v>0</v>
      </c>
      <c r="F2137" s="514">
        <v>0</v>
      </c>
      <c r="G2137" s="514">
        <v>0</v>
      </c>
      <c r="H2137" s="514">
        <v>0</v>
      </c>
      <c r="I2137" s="514">
        <v>0</v>
      </c>
      <c r="J2137" s="514">
        <v>0</v>
      </c>
      <c r="K2137" s="514">
        <v>0</v>
      </c>
      <c r="L2137" s="514">
        <v>0</v>
      </c>
      <c r="M2137" s="514">
        <v>0</v>
      </c>
      <c r="N2137" s="514">
        <v>0</v>
      </c>
      <c r="O2137" s="499"/>
      <c r="P2137" s="499"/>
      <c r="Q2137" s="499"/>
    </row>
    <row r="2138" spans="1:17" ht="14.4" x14ac:dyDescent="0.3">
      <c r="A2138" s="502">
        <v>7100800</v>
      </c>
      <c r="B2138" s="503" t="s">
        <v>1604</v>
      </c>
      <c r="C2138" s="514">
        <v>0</v>
      </c>
      <c r="D2138" s="514">
        <v>0</v>
      </c>
      <c r="E2138" s="514">
        <v>0</v>
      </c>
      <c r="F2138" s="514">
        <v>0</v>
      </c>
      <c r="G2138" s="514">
        <v>0</v>
      </c>
      <c r="H2138" s="514">
        <v>0</v>
      </c>
      <c r="I2138" s="514">
        <v>0</v>
      </c>
      <c r="J2138" s="514">
        <v>0</v>
      </c>
      <c r="K2138" s="514">
        <v>0</v>
      </c>
      <c r="L2138" s="514">
        <v>0</v>
      </c>
      <c r="M2138" s="514">
        <v>0</v>
      </c>
      <c r="N2138" s="514">
        <v>0</v>
      </c>
      <c r="O2138" s="499"/>
      <c r="P2138" s="499"/>
      <c r="Q2138" s="499"/>
    </row>
    <row r="2139" spans="1:17" ht="14.4" x14ac:dyDescent="0.3">
      <c r="A2139" s="502">
        <v>7101000</v>
      </c>
      <c r="B2139" s="503" t="s">
        <v>3537</v>
      </c>
      <c r="C2139" s="514">
        <v>0</v>
      </c>
      <c r="D2139" s="514">
        <v>0</v>
      </c>
      <c r="E2139" s="514">
        <v>0</v>
      </c>
      <c r="F2139" s="514">
        <v>0</v>
      </c>
      <c r="G2139" s="514">
        <v>0</v>
      </c>
      <c r="H2139" s="514">
        <v>0</v>
      </c>
      <c r="I2139" s="514">
        <v>0</v>
      </c>
      <c r="J2139" s="514">
        <v>0</v>
      </c>
      <c r="K2139" s="514">
        <v>0</v>
      </c>
      <c r="L2139" s="514">
        <v>0</v>
      </c>
      <c r="M2139" s="514">
        <v>0</v>
      </c>
      <c r="N2139" s="514">
        <v>0</v>
      </c>
      <c r="O2139" s="499"/>
      <c r="P2139" s="499"/>
      <c r="Q2139" s="499"/>
    </row>
    <row r="2140" spans="1:17" ht="14.4" x14ac:dyDescent="0.3">
      <c r="A2140" s="502">
        <v>7101100</v>
      </c>
      <c r="B2140" s="503" t="s">
        <v>3538</v>
      </c>
      <c r="C2140" s="514">
        <v>0</v>
      </c>
      <c r="D2140" s="514">
        <v>0</v>
      </c>
      <c r="E2140" s="514">
        <v>0</v>
      </c>
      <c r="F2140" s="514">
        <v>0</v>
      </c>
      <c r="G2140" s="514">
        <v>0</v>
      </c>
      <c r="H2140" s="514">
        <v>0</v>
      </c>
      <c r="I2140" s="514">
        <v>0</v>
      </c>
      <c r="J2140" s="514">
        <v>0</v>
      </c>
      <c r="K2140" s="514">
        <v>0</v>
      </c>
      <c r="L2140" s="514">
        <v>0</v>
      </c>
      <c r="M2140" s="514">
        <v>0</v>
      </c>
      <c r="N2140" s="514">
        <v>0</v>
      </c>
      <c r="O2140" s="499"/>
      <c r="P2140" s="499"/>
      <c r="Q2140" s="499"/>
    </row>
    <row r="2141" spans="1:17" ht="14.4" x14ac:dyDescent="0.3">
      <c r="A2141" s="502">
        <v>7102000</v>
      </c>
      <c r="B2141" s="503" t="s">
        <v>1606</v>
      </c>
      <c r="C2141" s="514">
        <v>0</v>
      </c>
      <c r="D2141" s="514">
        <v>0</v>
      </c>
      <c r="E2141" s="514">
        <v>0</v>
      </c>
      <c r="F2141" s="514">
        <v>0</v>
      </c>
      <c r="G2141" s="514">
        <v>0</v>
      </c>
      <c r="H2141" s="514">
        <v>0</v>
      </c>
      <c r="I2141" s="514">
        <v>0</v>
      </c>
      <c r="J2141" s="514">
        <v>0</v>
      </c>
      <c r="K2141" s="514">
        <v>0</v>
      </c>
      <c r="L2141" s="514">
        <v>0</v>
      </c>
      <c r="M2141" s="514">
        <v>0</v>
      </c>
      <c r="N2141" s="514">
        <v>0</v>
      </c>
      <c r="O2141" s="499"/>
      <c r="P2141" s="510"/>
      <c r="Q2141" s="499"/>
    </row>
    <row r="2142" spans="1:17" ht="14.4" x14ac:dyDescent="0.3">
      <c r="A2142" s="502">
        <v>7102100</v>
      </c>
      <c r="B2142" s="503" t="s">
        <v>1608</v>
      </c>
      <c r="C2142" s="514">
        <v>0</v>
      </c>
      <c r="D2142" s="514">
        <v>0</v>
      </c>
      <c r="E2142" s="514">
        <v>0</v>
      </c>
      <c r="F2142" s="514">
        <v>0</v>
      </c>
      <c r="G2142" s="514">
        <v>0</v>
      </c>
      <c r="H2142" s="514">
        <v>0</v>
      </c>
      <c r="I2142" s="514">
        <v>0</v>
      </c>
      <c r="J2142" s="514">
        <v>0</v>
      </c>
      <c r="K2142" s="514">
        <v>0</v>
      </c>
      <c r="L2142" s="514">
        <v>0</v>
      </c>
      <c r="M2142" s="514">
        <v>0</v>
      </c>
      <c r="N2142" s="514">
        <v>0</v>
      </c>
      <c r="O2142" s="499"/>
      <c r="P2142" s="499"/>
      <c r="Q2142" s="499"/>
    </row>
    <row r="2143" spans="1:17" ht="14.4" x14ac:dyDescent="0.3">
      <c r="A2143" s="502">
        <v>7103010</v>
      </c>
      <c r="B2143" s="503" t="s">
        <v>3539</v>
      </c>
      <c r="C2143" s="514">
        <v>0</v>
      </c>
      <c r="D2143" s="514">
        <v>0</v>
      </c>
      <c r="E2143" s="514">
        <v>0</v>
      </c>
      <c r="F2143" s="514">
        <v>0</v>
      </c>
      <c r="G2143" s="514">
        <v>0</v>
      </c>
      <c r="H2143" s="514">
        <v>0</v>
      </c>
      <c r="I2143" s="514">
        <v>0</v>
      </c>
      <c r="J2143" s="514">
        <v>0</v>
      </c>
      <c r="K2143" s="514">
        <v>0</v>
      </c>
      <c r="L2143" s="514">
        <v>0</v>
      </c>
      <c r="M2143" s="514">
        <v>0</v>
      </c>
      <c r="N2143" s="514">
        <v>0</v>
      </c>
      <c r="O2143" s="499"/>
      <c r="P2143" s="499"/>
      <c r="Q2143" s="499"/>
    </row>
    <row r="2144" spans="1:17" ht="14.4" x14ac:dyDescent="0.3">
      <c r="A2144" s="502">
        <v>7103020</v>
      </c>
      <c r="B2144" s="503" t="s">
        <v>3540</v>
      </c>
      <c r="C2144" s="514">
        <v>0</v>
      </c>
      <c r="D2144" s="514">
        <v>0</v>
      </c>
      <c r="E2144" s="514">
        <v>0</v>
      </c>
      <c r="F2144" s="514">
        <v>0</v>
      </c>
      <c r="G2144" s="514">
        <v>0</v>
      </c>
      <c r="H2144" s="514">
        <v>0</v>
      </c>
      <c r="I2144" s="514">
        <v>0</v>
      </c>
      <c r="J2144" s="514">
        <v>0</v>
      </c>
      <c r="K2144" s="514">
        <v>0</v>
      </c>
      <c r="L2144" s="514">
        <v>0</v>
      </c>
      <c r="M2144" s="514">
        <v>0</v>
      </c>
      <c r="N2144" s="514">
        <v>0</v>
      </c>
      <c r="O2144" s="499"/>
      <c r="P2144" s="499"/>
      <c r="Q2144" s="499"/>
    </row>
    <row r="2145" spans="1:17" ht="14.4" x14ac:dyDescent="0.3">
      <c r="A2145" s="502">
        <v>7103030</v>
      </c>
      <c r="B2145" s="503" t="s">
        <v>1610</v>
      </c>
      <c r="C2145" s="514">
        <v>0</v>
      </c>
      <c r="D2145" s="514">
        <v>0</v>
      </c>
      <c r="E2145" s="514">
        <v>0</v>
      </c>
      <c r="F2145" s="514">
        <v>0</v>
      </c>
      <c r="G2145" s="514">
        <v>0</v>
      </c>
      <c r="H2145" s="514">
        <v>0</v>
      </c>
      <c r="I2145" s="514">
        <v>0</v>
      </c>
      <c r="J2145" s="514">
        <v>0</v>
      </c>
      <c r="K2145" s="514">
        <v>0</v>
      </c>
      <c r="L2145" s="514">
        <v>0</v>
      </c>
      <c r="M2145" s="514">
        <v>0</v>
      </c>
      <c r="N2145" s="514">
        <v>0</v>
      </c>
      <c r="O2145" s="499"/>
      <c r="P2145" s="499"/>
      <c r="Q2145" s="499"/>
    </row>
    <row r="2146" spans="1:17" ht="14.4" x14ac:dyDescent="0.3">
      <c r="A2146" s="502">
        <v>7103035</v>
      </c>
      <c r="B2146" s="503" t="s">
        <v>1644</v>
      </c>
      <c r="C2146" s="514">
        <v>0</v>
      </c>
      <c r="D2146" s="514">
        <v>0</v>
      </c>
      <c r="E2146" s="514">
        <v>0</v>
      </c>
      <c r="F2146" s="514">
        <v>0</v>
      </c>
      <c r="G2146" s="514">
        <v>0</v>
      </c>
      <c r="H2146" s="514">
        <v>0</v>
      </c>
      <c r="I2146" s="514">
        <v>0</v>
      </c>
      <c r="J2146" s="514">
        <v>0</v>
      </c>
      <c r="K2146" s="514">
        <v>0</v>
      </c>
      <c r="L2146" s="514">
        <v>0</v>
      </c>
      <c r="M2146" s="514">
        <v>0</v>
      </c>
      <c r="N2146" s="514">
        <v>0</v>
      </c>
      <c r="O2146" s="499"/>
      <c r="P2146" s="499"/>
      <c r="Q2146" s="499"/>
    </row>
    <row r="2147" spans="1:17" ht="14.4" x14ac:dyDescent="0.3">
      <c r="A2147" s="502">
        <v>7103040</v>
      </c>
      <c r="B2147" s="503" t="s">
        <v>1612</v>
      </c>
      <c r="C2147" s="514">
        <v>0</v>
      </c>
      <c r="D2147" s="514">
        <v>0</v>
      </c>
      <c r="E2147" s="514">
        <v>0</v>
      </c>
      <c r="F2147" s="514">
        <v>0</v>
      </c>
      <c r="G2147" s="514">
        <v>0</v>
      </c>
      <c r="H2147" s="514">
        <v>0</v>
      </c>
      <c r="I2147" s="514">
        <v>0</v>
      </c>
      <c r="J2147" s="514">
        <v>0</v>
      </c>
      <c r="K2147" s="514">
        <v>0</v>
      </c>
      <c r="L2147" s="514">
        <v>0</v>
      </c>
      <c r="M2147" s="514">
        <v>0</v>
      </c>
      <c r="N2147" s="514">
        <v>0</v>
      </c>
      <c r="O2147" s="499"/>
      <c r="P2147" s="499"/>
      <c r="Q2147" s="499"/>
    </row>
    <row r="2148" spans="1:17" ht="14.4" x14ac:dyDescent="0.3">
      <c r="A2148" s="502">
        <v>7103050</v>
      </c>
      <c r="B2148" s="503" t="s">
        <v>3541</v>
      </c>
      <c r="C2148" s="514">
        <v>0</v>
      </c>
      <c r="D2148" s="514">
        <v>0</v>
      </c>
      <c r="E2148" s="514">
        <v>0</v>
      </c>
      <c r="F2148" s="514">
        <v>0</v>
      </c>
      <c r="G2148" s="514">
        <v>0</v>
      </c>
      <c r="H2148" s="514">
        <v>0</v>
      </c>
      <c r="I2148" s="514">
        <v>0</v>
      </c>
      <c r="J2148" s="514">
        <v>0</v>
      </c>
      <c r="K2148" s="514">
        <v>0</v>
      </c>
      <c r="L2148" s="514">
        <v>0</v>
      </c>
      <c r="M2148" s="514">
        <v>0</v>
      </c>
      <c r="N2148" s="514">
        <v>0</v>
      </c>
      <c r="O2148" s="499"/>
      <c r="P2148" s="499"/>
      <c r="Q2148" s="499"/>
    </row>
    <row r="2149" spans="1:17" ht="14.4" x14ac:dyDescent="0.3">
      <c r="A2149" s="502">
        <v>7103060</v>
      </c>
      <c r="B2149" s="503" t="s">
        <v>1614</v>
      </c>
      <c r="C2149" s="514">
        <v>0</v>
      </c>
      <c r="D2149" s="514">
        <v>0</v>
      </c>
      <c r="E2149" s="514">
        <v>0</v>
      </c>
      <c r="F2149" s="514">
        <v>0</v>
      </c>
      <c r="G2149" s="514">
        <v>0</v>
      </c>
      <c r="H2149" s="514">
        <v>0</v>
      </c>
      <c r="I2149" s="514">
        <v>0</v>
      </c>
      <c r="J2149" s="514">
        <v>0</v>
      </c>
      <c r="K2149" s="514">
        <v>0</v>
      </c>
      <c r="L2149" s="514">
        <v>0</v>
      </c>
      <c r="M2149" s="514">
        <v>0</v>
      </c>
      <c r="N2149" s="514">
        <v>0</v>
      </c>
      <c r="O2149" s="499"/>
      <c r="P2149" s="510"/>
      <c r="Q2149" s="499"/>
    </row>
    <row r="2150" spans="1:17" ht="14.4" x14ac:dyDescent="0.3">
      <c r="A2150" s="502">
        <v>7103070</v>
      </c>
      <c r="B2150" s="503" t="s">
        <v>3542</v>
      </c>
      <c r="C2150" s="514">
        <v>0</v>
      </c>
      <c r="D2150" s="514">
        <v>0</v>
      </c>
      <c r="E2150" s="514">
        <v>0</v>
      </c>
      <c r="F2150" s="514">
        <v>0</v>
      </c>
      <c r="G2150" s="514">
        <v>0</v>
      </c>
      <c r="H2150" s="514">
        <v>0</v>
      </c>
      <c r="I2150" s="514">
        <v>0</v>
      </c>
      <c r="J2150" s="514">
        <v>0</v>
      </c>
      <c r="K2150" s="514">
        <v>0</v>
      </c>
      <c r="L2150" s="514">
        <v>0</v>
      </c>
      <c r="M2150" s="514">
        <v>0</v>
      </c>
      <c r="N2150" s="514">
        <v>0</v>
      </c>
      <c r="O2150" s="499"/>
      <c r="P2150" s="499"/>
      <c r="Q2150" s="499"/>
    </row>
    <row r="2151" spans="1:17" ht="14.4" x14ac:dyDescent="0.3">
      <c r="A2151" s="502">
        <v>7103080</v>
      </c>
      <c r="B2151" s="503" t="s">
        <v>3543</v>
      </c>
      <c r="C2151" s="514">
        <v>0</v>
      </c>
      <c r="D2151" s="514">
        <v>0</v>
      </c>
      <c r="E2151" s="514">
        <v>0</v>
      </c>
      <c r="F2151" s="514">
        <v>0</v>
      </c>
      <c r="G2151" s="514">
        <v>0</v>
      </c>
      <c r="H2151" s="514">
        <v>0</v>
      </c>
      <c r="I2151" s="514">
        <v>0</v>
      </c>
      <c r="J2151" s="514">
        <v>0</v>
      </c>
      <c r="K2151" s="514">
        <v>0</v>
      </c>
      <c r="L2151" s="514">
        <v>0</v>
      </c>
      <c r="M2151" s="514">
        <v>0</v>
      </c>
      <c r="N2151" s="514">
        <v>0</v>
      </c>
      <c r="O2151" s="499"/>
      <c r="P2151" s="499"/>
      <c r="Q2151" s="499"/>
    </row>
    <row r="2152" spans="1:17" ht="14.4" x14ac:dyDescent="0.3">
      <c r="A2152" s="502">
        <v>7103081</v>
      </c>
      <c r="B2152" s="503" t="s">
        <v>3544</v>
      </c>
      <c r="C2152" s="514">
        <v>0</v>
      </c>
      <c r="D2152" s="514">
        <v>0</v>
      </c>
      <c r="E2152" s="514">
        <v>0</v>
      </c>
      <c r="F2152" s="514">
        <v>0</v>
      </c>
      <c r="G2152" s="514">
        <v>0</v>
      </c>
      <c r="H2152" s="514">
        <v>0</v>
      </c>
      <c r="I2152" s="514">
        <v>0</v>
      </c>
      <c r="J2152" s="514">
        <v>0</v>
      </c>
      <c r="K2152" s="514">
        <v>0</v>
      </c>
      <c r="L2152" s="514">
        <v>0</v>
      </c>
      <c r="M2152" s="514">
        <v>0</v>
      </c>
      <c r="N2152" s="514">
        <v>0</v>
      </c>
      <c r="O2152" s="499"/>
      <c r="P2152" s="499"/>
      <c r="Q2152" s="499"/>
    </row>
    <row r="2153" spans="1:17" ht="14.4" x14ac:dyDescent="0.3">
      <c r="A2153" s="502">
        <v>7109000</v>
      </c>
      <c r="B2153" s="503" t="s">
        <v>1616</v>
      </c>
      <c r="C2153" s="514">
        <v>0</v>
      </c>
      <c r="D2153" s="514">
        <v>0</v>
      </c>
      <c r="E2153" s="514">
        <v>0</v>
      </c>
      <c r="F2153" s="514">
        <v>0</v>
      </c>
      <c r="G2153" s="514">
        <v>0</v>
      </c>
      <c r="H2153" s="514">
        <v>0</v>
      </c>
      <c r="I2153" s="514">
        <v>0</v>
      </c>
      <c r="J2153" s="514">
        <v>0</v>
      </c>
      <c r="K2153" s="514">
        <v>0</v>
      </c>
      <c r="L2153" s="514">
        <v>0</v>
      </c>
      <c r="M2153" s="514">
        <v>0</v>
      </c>
      <c r="N2153" s="514">
        <v>0</v>
      </c>
      <c r="O2153" s="499"/>
      <c r="P2153" s="499"/>
      <c r="Q2153" s="499"/>
    </row>
    <row r="2154" spans="1:17" ht="14.4" x14ac:dyDescent="0.3">
      <c r="A2154" s="502">
        <v>7200800</v>
      </c>
      <c r="B2154" s="503" t="s">
        <v>3545</v>
      </c>
      <c r="C2154" s="514">
        <v>0</v>
      </c>
      <c r="D2154" s="514">
        <v>0</v>
      </c>
      <c r="E2154" s="514">
        <v>0</v>
      </c>
      <c r="F2154" s="514">
        <v>0</v>
      </c>
      <c r="G2154" s="514">
        <v>0</v>
      </c>
      <c r="H2154" s="514">
        <v>0</v>
      </c>
      <c r="I2154" s="514">
        <v>0</v>
      </c>
      <c r="J2154" s="514">
        <v>0</v>
      </c>
      <c r="K2154" s="514">
        <v>0</v>
      </c>
      <c r="L2154" s="514">
        <v>0</v>
      </c>
      <c r="M2154" s="514">
        <v>0</v>
      </c>
      <c r="N2154" s="514">
        <v>0</v>
      </c>
      <c r="O2154" s="499"/>
      <c r="P2154" s="499"/>
      <c r="Q2154" s="499"/>
    </row>
    <row r="2155" spans="1:17" ht="14.4" x14ac:dyDescent="0.3">
      <c r="A2155" s="502">
        <v>7201000</v>
      </c>
      <c r="B2155" s="503" t="s">
        <v>3546</v>
      </c>
      <c r="C2155" s="514">
        <v>0</v>
      </c>
      <c r="D2155" s="514">
        <v>0</v>
      </c>
      <c r="E2155" s="514">
        <v>0</v>
      </c>
      <c r="F2155" s="514">
        <v>0</v>
      </c>
      <c r="G2155" s="514">
        <v>0</v>
      </c>
      <c r="H2155" s="514">
        <v>0</v>
      </c>
      <c r="I2155" s="514">
        <v>0</v>
      </c>
      <c r="J2155" s="514">
        <v>0</v>
      </c>
      <c r="K2155" s="514">
        <v>0</v>
      </c>
      <c r="L2155" s="514">
        <v>0</v>
      </c>
      <c r="M2155" s="514">
        <v>0</v>
      </c>
      <c r="N2155" s="514">
        <v>0</v>
      </c>
      <c r="O2155" s="499"/>
      <c r="P2155" s="499"/>
      <c r="Q2155" s="499"/>
    </row>
    <row r="2156" spans="1:17" ht="14.4" x14ac:dyDescent="0.3">
      <c r="A2156" s="502">
        <v>7201001</v>
      </c>
      <c r="B2156" s="503" t="s">
        <v>3547</v>
      </c>
      <c r="C2156" s="514">
        <v>0</v>
      </c>
      <c r="D2156" s="514">
        <v>0</v>
      </c>
      <c r="E2156" s="514">
        <v>0</v>
      </c>
      <c r="F2156" s="514">
        <v>0</v>
      </c>
      <c r="G2156" s="514">
        <v>0</v>
      </c>
      <c r="H2156" s="514">
        <v>0</v>
      </c>
      <c r="I2156" s="514">
        <v>0</v>
      </c>
      <c r="J2156" s="514">
        <v>0</v>
      </c>
      <c r="K2156" s="514">
        <v>0</v>
      </c>
      <c r="L2156" s="514">
        <v>0</v>
      </c>
      <c r="M2156" s="514">
        <v>0</v>
      </c>
      <c r="N2156" s="514">
        <v>0</v>
      </c>
      <c r="O2156" s="499"/>
      <c r="P2156" s="499"/>
      <c r="Q2156" s="499"/>
    </row>
    <row r="2157" spans="1:17" ht="14.4" x14ac:dyDescent="0.3">
      <c r="A2157" s="502">
        <v>7201100</v>
      </c>
      <c r="B2157" s="503" t="s">
        <v>1672</v>
      </c>
      <c r="C2157" s="514">
        <v>0</v>
      </c>
      <c r="D2157" s="514">
        <v>0</v>
      </c>
      <c r="E2157" s="514">
        <v>0</v>
      </c>
      <c r="F2157" s="514">
        <v>0</v>
      </c>
      <c r="G2157" s="514">
        <v>0</v>
      </c>
      <c r="H2157" s="514">
        <v>0</v>
      </c>
      <c r="I2157" s="514">
        <v>0</v>
      </c>
      <c r="J2157" s="514">
        <v>0</v>
      </c>
      <c r="K2157" s="514">
        <v>0</v>
      </c>
      <c r="L2157" s="514">
        <v>0</v>
      </c>
      <c r="M2157" s="514">
        <v>0</v>
      </c>
      <c r="N2157" s="514">
        <v>0</v>
      </c>
      <c r="O2157" s="499"/>
      <c r="P2157" s="499"/>
      <c r="Q2157" s="499"/>
    </row>
    <row r="2158" spans="1:17" ht="14.4" x14ac:dyDescent="0.3">
      <c r="A2158" s="502">
        <v>7202000</v>
      </c>
      <c r="B2158" s="503" t="s">
        <v>1618</v>
      </c>
      <c r="C2158" s="514">
        <v>0</v>
      </c>
      <c r="D2158" s="514">
        <v>0</v>
      </c>
      <c r="E2158" s="514">
        <v>0</v>
      </c>
      <c r="F2158" s="514">
        <v>0</v>
      </c>
      <c r="G2158" s="514">
        <v>0</v>
      </c>
      <c r="H2158" s="514">
        <v>0</v>
      </c>
      <c r="I2158" s="514">
        <v>0</v>
      </c>
      <c r="J2158" s="514">
        <v>0</v>
      </c>
      <c r="K2158" s="514">
        <v>0</v>
      </c>
      <c r="L2158" s="514">
        <v>0</v>
      </c>
      <c r="M2158" s="514">
        <v>0</v>
      </c>
      <c r="N2158" s="514">
        <v>0</v>
      </c>
      <c r="O2158" s="499"/>
      <c r="P2158" s="499"/>
      <c r="Q2158" s="499"/>
    </row>
    <row r="2159" spans="1:17" ht="14.4" x14ac:dyDescent="0.3">
      <c r="A2159" s="502">
        <v>7202100</v>
      </c>
      <c r="B2159" s="503" t="s">
        <v>1620</v>
      </c>
      <c r="C2159" s="514">
        <v>0</v>
      </c>
      <c r="D2159" s="514">
        <v>0</v>
      </c>
      <c r="E2159" s="514">
        <v>0</v>
      </c>
      <c r="F2159" s="514">
        <v>0</v>
      </c>
      <c r="G2159" s="514">
        <v>0</v>
      </c>
      <c r="H2159" s="514">
        <v>0</v>
      </c>
      <c r="I2159" s="514">
        <v>0</v>
      </c>
      <c r="J2159" s="514">
        <v>0</v>
      </c>
      <c r="K2159" s="514">
        <v>0</v>
      </c>
      <c r="L2159" s="514">
        <v>0</v>
      </c>
      <c r="M2159" s="514">
        <v>0</v>
      </c>
      <c r="N2159" s="514">
        <v>0</v>
      </c>
      <c r="O2159" s="499"/>
      <c r="P2159" s="499"/>
      <c r="Q2159" s="499"/>
    </row>
    <row r="2160" spans="1:17" ht="14.4" x14ac:dyDescent="0.3">
      <c r="A2160" s="502">
        <v>7203010</v>
      </c>
      <c r="B2160" s="503" t="s">
        <v>3548</v>
      </c>
      <c r="C2160" s="514">
        <v>0</v>
      </c>
      <c r="D2160" s="514">
        <v>0</v>
      </c>
      <c r="E2160" s="514">
        <v>0</v>
      </c>
      <c r="F2160" s="514">
        <v>0</v>
      </c>
      <c r="G2160" s="514">
        <v>0</v>
      </c>
      <c r="H2160" s="514">
        <v>0</v>
      </c>
      <c r="I2160" s="514">
        <v>0</v>
      </c>
      <c r="J2160" s="514">
        <v>0</v>
      </c>
      <c r="K2160" s="514">
        <v>0</v>
      </c>
      <c r="L2160" s="514">
        <v>0</v>
      </c>
      <c r="M2160" s="514">
        <v>0</v>
      </c>
      <c r="N2160" s="514">
        <v>0</v>
      </c>
      <c r="O2160" s="499"/>
      <c r="P2160" s="499"/>
      <c r="Q2160" s="499"/>
    </row>
    <row r="2161" spans="1:17" ht="14.4" x14ac:dyDescent="0.3">
      <c r="A2161" s="502">
        <v>7203020</v>
      </c>
      <c r="B2161" s="503" t="s">
        <v>3549</v>
      </c>
      <c r="C2161" s="514">
        <v>0</v>
      </c>
      <c r="D2161" s="514">
        <v>0</v>
      </c>
      <c r="E2161" s="514">
        <v>0</v>
      </c>
      <c r="F2161" s="514">
        <v>0</v>
      </c>
      <c r="G2161" s="514">
        <v>0</v>
      </c>
      <c r="H2161" s="514">
        <v>0</v>
      </c>
      <c r="I2161" s="514">
        <v>0</v>
      </c>
      <c r="J2161" s="514">
        <v>0</v>
      </c>
      <c r="K2161" s="514">
        <v>0</v>
      </c>
      <c r="L2161" s="514">
        <v>0</v>
      </c>
      <c r="M2161" s="514">
        <v>0</v>
      </c>
      <c r="N2161" s="514">
        <v>0</v>
      </c>
      <c r="O2161" s="499"/>
      <c r="P2161" s="499"/>
      <c r="Q2161" s="499"/>
    </row>
    <row r="2162" spans="1:17" ht="14.4" x14ac:dyDescent="0.3">
      <c r="A2162" s="502">
        <v>7203030</v>
      </c>
      <c r="B2162" s="503" t="s">
        <v>1622</v>
      </c>
      <c r="C2162" s="514">
        <v>0</v>
      </c>
      <c r="D2162" s="514">
        <v>0</v>
      </c>
      <c r="E2162" s="514">
        <v>0</v>
      </c>
      <c r="F2162" s="514">
        <v>0</v>
      </c>
      <c r="G2162" s="514">
        <v>0</v>
      </c>
      <c r="H2162" s="514">
        <v>0</v>
      </c>
      <c r="I2162" s="514">
        <v>0</v>
      </c>
      <c r="J2162" s="514">
        <v>0</v>
      </c>
      <c r="K2162" s="514">
        <v>0</v>
      </c>
      <c r="L2162" s="514">
        <v>0</v>
      </c>
      <c r="M2162" s="514">
        <v>0</v>
      </c>
      <c r="N2162" s="514">
        <v>0</v>
      </c>
      <c r="O2162" s="499"/>
      <c r="P2162" s="499"/>
      <c r="Q2162" s="499"/>
    </row>
    <row r="2163" spans="1:17" ht="14.4" x14ac:dyDescent="0.3">
      <c r="A2163" s="502">
        <v>7203040</v>
      </c>
      <c r="B2163" s="503" t="s">
        <v>1624</v>
      </c>
      <c r="C2163" s="514">
        <v>0</v>
      </c>
      <c r="D2163" s="514">
        <v>0</v>
      </c>
      <c r="E2163" s="514">
        <v>0</v>
      </c>
      <c r="F2163" s="514">
        <v>0</v>
      </c>
      <c r="G2163" s="514">
        <v>0</v>
      </c>
      <c r="H2163" s="514">
        <v>0</v>
      </c>
      <c r="I2163" s="514">
        <v>0</v>
      </c>
      <c r="J2163" s="514">
        <v>0</v>
      </c>
      <c r="K2163" s="514">
        <v>0</v>
      </c>
      <c r="L2163" s="514">
        <v>0</v>
      </c>
      <c r="M2163" s="514">
        <v>0</v>
      </c>
      <c r="N2163" s="514">
        <v>0</v>
      </c>
      <c r="O2163" s="499"/>
      <c r="P2163" s="499"/>
      <c r="Q2163" s="499"/>
    </row>
    <row r="2164" spans="1:17" ht="14.4" x14ac:dyDescent="0.3">
      <c r="A2164" s="502">
        <v>7203050</v>
      </c>
      <c r="B2164" s="503" t="s">
        <v>3550</v>
      </c>
      <c r="C2164" s="514">
        <v>0</v>
      </c>
      <c r="D2164" s="514">
        <v>0</v>
      </c>
      <c r="E2164" s="514">
        <v>0</v>
      </c>
      <c r="F2164" s="514">
        <v>0</v>
      </c>
      <c r="G2164" s="514">
        <v>0</v>
      </c>
      <c r="H2164" s="514">
        <v>0</v>
      </c>
      <c r="I2164" s="514">
        <v>0</v>
      </c>
      <c r="J2164" s="514">
        <v>0</v>
      </c>
      <c r="K2164" s="514">
        <v>0</v>
      </c>
      <c r="L2164" s="514">
        <v>0</v>
      </c>
      <c r="M2164" s="514">
        <v>0</v>
      </c>
      <c r="N2164" s="514">
        <v>0</v>
      </c>
      <c r="O2164" s="499"/>
      <c r="P2164" s="499"/>
      <c r="Q2164" s="499"/>
    </row>
    <row r="2165" spans="1:17" ht="14.4" x14ac:dyDescent="0.3">
      <c r="A2165" s="502">
        <v>7204010</v>
      </c>
      <c r="B2165" s="503" t="s">
        <v>3551</v>
      </c>
      <c r="C2165" s="514">
        <v>0</v>
      </c>
      <c r="D2165" s="514">
        <v>0</v>
      </c>
      <c r="E2165" s="514">
        <v>0</v>
      </c>
      <c r="F2165" s="514">
        <v>0</v>
      </c>
      <c r="G2165" s="514">
        <v>0</v>
      </c>
      <c r="H2165" s="514">
        <v>0</v>
      </c>
      <c r="I2165" s="514">
        <v>0</v>
      </c>
      <c r="J2165" s="514">
        <v>0</v>
      </c>
      <c r="K2165" s="514">
        <v>0</v>
      </c>
      <c r="L2165" s="514">
        <v>0</v>
      </c>
      <c r="M2165" s="514">
        <v>0</v>
      </c>
      <c r="N2165" s="514">
        <v>0</v>
      </c>
      <c r="O2165" s="499"/>
      <c r="P2165" s="499"/>
      <c r="Q2165" s="499"/>
    </row>
    <row r="2166" spans="1:17" ht="14.4" x14ac:dyDescent="0.3">
      <c r="A2166" s="502">
        <v>7204020</v>
      </c>
      <c r="B2166" s="503" t="s">
        <v>3552</v>
      </c>
      <c r="C2166" s="514">
        <v>0</v>
      </c>
      <c r="D2166" s="514">
        <v>0</v>
      </c>
      <c r="E2166" s="514">
        <v>0</v>
      </c>
      <c r="F2166" s="514">
        <v>0</v>
      </c>
      <c r="G2166" s="514">
        <v>0</v>
      </c>
      <c r="H2166" s="514">
        <v>0</v>
      </c>
      <c r="I2166" s="514">
        <v>0</v>
      </c>
      <c r="J2166" s="514">
        <v>0</v>
      </c>
      <c r="K2166" s="514">
        <v>0</v>
      </c>
      <c r="L2166" s="514">
        <v>0</v>
      </c>
      <c r="M2166" s="514">
        <v>0</v>
      </c>
      <c r="N2166" s="514">
        <v>0</v>
      </c>
      <c r="O2166" s="499"/>
      <c r="P2166" s="499"/>
      <c r="Q2166" s="499"/>
    </row>
    <row r="2167" spans="1:17" ht="14.4" x14ac:dyDescent="0.3">
      <c r="A2167" s="502">
        <v>7204030</v>
      </c>
      <c r="B2167" s="503" t="s">
        <v>3553</v>
      </c>
      <c r="C2167" s="514">
        <v>0</v>
      </c>
      <c r="D2167" s="514">
        <v>0</v>
      </c>
      <c r="E2167" s="514">
        <v>0</v>
      </c>
      <c r="F2167" s="514">
        <v>0</v>
      </c>
      <c r="G2167" s="514">
        <v>0</v>
      </c>
      <c r="H2167" s="514">
        <v>0</v>
      </c>
      <c r="I2167" s="514">
        <v>0</v>
      </c>
      <c r="J2167" s="514">
        <v>0</v>
      </c>
      <c r="K2167" s="514">
        <v>0</v>
      </c>
      <c r="L2167" s="514">
        <v>0</v>
      </c>
      <c r="M2167" s="514">
        <v>0</v>
      </c>
      <c r="N2167" s="514">
        <v>0</v>
      </c>
      <c r="O2167" s="499"/>
      <c r="P2167" s="499"/>
      <c r="Q2167" s="499"/>
    </row>
    <row r="2168" spans="1:17" ht="14.4" x14ac:dyDescent="0.3">
      <c r="A2168" s="502">
        <v>7204040</v>
      </c>
      <c r="B2168" s="503" t="s">
        <v>3554</v>
      </c>
      <c r="C2168" s="514">
        <v>0</v>
      </c>
      <c r="D2168" s="514">
        <v>0</v>
      </c>
      <c r="E2168" s="514">
        <v>0</v>
      </c>
      <c r="F2168" s="514">
        <v>0</v>
      </c>
      <c r="G2168" s="514">
        <v>0</v>
      </c>
      <c r="H2168" s="514">
        <v>0</v>
      </c>
      <c r="I2168" s="514">
        <v>0</v>
      </c>
      <c r="J2168" s="514">
        <v>0</v>
      </c>
      <c r="K2168" s="514">
        <v>0</v>
      </c>
      <c r="L2168" s="514">
        <v>0</v>
      </c>
      <c r="M2168" s="514">
        <v>0</v>
      </c>
      <c r="N2168" s="514">
        <v>0</v>
      </c>
      <c r="O2168" s="499"/>
      <c r="P2168" s="499"/>
      <c r="Q2168" s="499"/>
    </row>
    <row r="2169" spans="1:17" ht="14.4" x14ac:dyDescent="0.3">
      <c r="A2169" s="502">
        <v>7204050</v>
      </c>
      <c r="B2169" s="503" t="s">
        <v>3555</v>
      </c>
      <c r="C2169" s="514">
        <v>0</v>
      </c>
      <c r="D2169" s="514">
        <v>0</v>
      </c>
      <c r="E2169" s="514">
        <v>0</v>
      </c>
      <c r="F2169" s="514">
        <v>0</v>
      </c>
      <c r="G2169" s="514">
        <v>0</v>
      </c>
      <c r="H2169" s="514">
        <v>0</v>
      </c>
      <c r="I2169" s="514">
        <v>0</v>
      </c>
      <c r="J2169" s="514">
        <v>0</v>
      </c>
      <c r="K2169" s="514">
        <v>0</v>
      </c>
      <c r="L2169" s="514">
        <v>0</v>
      </c>
      <c r="M2169" s="514">
        <v>0</v>
      </c>
      <c r="N2169" s="514">
        <v>0</v>
      </c>
      <c r="O2169" s="499"/>
      <c r="P2169" s="499"/>
      <c r="Q2169" s="499"/>
    </row>
    <row r="2170" spans="1:17" ht="14.4" x14ac:dyDescent="0.3">
      <c r="A2170" s="502">
        <v>7209000</v>
      </c>
      <c r="B2170" s="503" t="s">
        <v>3556</v>
      </c>
      <c r="C2170" s="514">
        <v>0</v>
      </c>
      <c r="D2170" s="514">
        <v>0</v>
      </c>
      <c r="E2170" s="514">
        <v>0</v>
      </c>
      <c r="F2170" s="514">
        <v>0</v>
      </c>
      <c r="G2170" s="514">
        <v>0</v>
      </c>
      <c r="H2170" s="514">
        <v>0</v>
      </c>
      <c r="I2170" s="514">
        <v>0</v>
      </c>
      <c r="J2170" s="514">
        <v>0</v>
      </c>
      <c r="K2170" s="514">
        <v>0</v>
      </c>
      <c r="L2170" s="514">
        <v>0</v>
      </c>
      <c r="M2170" s="514">
        <v>0</v>
      </c>
      <c r="N2170" s="514">
        <v>0</v>
      </c>
      <c r="O2170" s="499"/>
      <c r="P2170" s="499"/>
      <c r="Q2170" s="499"/>
    </row>
    <row r="2171" spans="1:17" ht="14.4" x14ac:dyDescent="0.3">
      <c r="A2171" s="502">
        <v>7301000</v>
      </c>
      <c r="B2171" s="503" t="s">
        <v>3557</v>
      </c>
      <c r="C2171" s="514">
        <v>0</v>
      </c>
      <c r="D2171" s="514">
        <v>0</v>
      </c>
      <c r="E2171" s="514">
        <v>0</v>
      </c>
      <c r="F2171" s="514">
        <v>0</v>
      </c>
      <c r="G2171" s="514">
        <v>0</v>
      </c>
      <c r="H2171" s="514">
        <v>0</v>
      </c>
      <c r="I2171" s="514">
        <v>0</v>
      </c>
      <c r="J2171" s="514">
        <v>0</v>
      </c>
      <c r="K2171" s="514">
        <v>0</v>
      </c>
      <c r="L2171" s="514">
        <v>0</v>
      </c>
      <c r="M2171" s="514">
        <v>0</v>
      </c>
      <c r="N2171" s="514">
        <v>0</v>
      </c>
      <c r="O2171" s="499"/>
      <c r="P2171" s="499"/>
      <c r="Q2171" s="499"/>
    </row>
    <row r="2172" spans="1:17" ht="14.4" x14ac:dyDescent="0.3">
      <c r="A2172" s="502">
        <v>7302000</v>
      </c>
      <c r="B2172" s="503" t="s">
        <v>3558</v>
      </c>
      <c r="C2172" s="514">
        <v>0</v>
      </c>
      <c r="D2172" s="514">
        <v>0</v>
      </c>
      <c r="E2172" s="514">
        <v>0</v>
      </c>
      <c r="F2172" s="514">
        <v>0</v>
      </c>
      <c r="G2172" s="514">
        <v>0</v>
      </c>
      <c r="H2172" s="514">
        <v>0</v>
      </c>
      <c r="I2172" s="514">
        <v>0</v>
      </c>
      <c r="J2172" s="514">
        <v>0</v>
      </c>
      <c r="K2172" s="514">
        <v>0</v>
      </c>
      <c r="L2172" s="514">
        <v>0</v>
      </c>
      <c r="M2172" s="514">
        <v>0</v>
      </c>
      <c r="N2172" s="514">
        <v>0</v>
      </c>
      <c r="O2172" s="499"/>
      <c r="P2172" s="499"/>
      <c r="Q2172" s="499"/>
    </row>
    <row r="2173" spans="1:17" ht="14.4" x14ac:dyDescent="0.3">
      <c r="A2173" s="502">
        <v>7309000</v>
      </c>
      <c r="B2173" s="503" t="s">
        <v>3559</v>
      </c>
      <c r="C2173" s="514">
        <v>0</v>
      </c>
      <c r="D2173" s="514">
        <v>0</v>
      </c>
      <c r="E2173" s="514">
        <v>0</v>
      </c>
      <c r="F2173" s="514">
        <v>0</v>
      </c>
      <c r="G2173" s="514">
        <v>0</v>
      </c>
      <c r="H2173" s="514">
        <v>0</v>
      </c>
      <c r="I2173" s="514">
        <v>0</v>
      </c>
      <c r="J2173" s="514">
        <v>0</v>
      </c>
      <c r="K2173" s="514">
        <v>0</v>
      </c>
      <c r="L2173" s="514">
        <v>0</v>
      </c>
      <c r="M2173" s="514">
        <v>0</v>
      </c>
      <c r="N2173" s="514">
        <v>0</v>
      </c>
      <c r="O2173" s="499"/>
      <c r="P2173" s="499"/>
      <c r="Q2173" s="499"/>
    </row>
    <row r="2174" spans="1:17" ht="14.4" x14ac:dyDescent="0.3">
      <c r="A2174" s="502">
        <v>7500010</v>
      </c>
      <c r="B2174" s="503" t="s">
        <v>1732</v>
      </c>
      <c r="C2174" s="514">
        <v>961929.01</v>
      </c>
      <c r="D2174" s="514">
        <v>1034443.41</v>
      </c>
      <c r="E2174" s="514">
        <v>1068397.1599999999</v>
      </c>
      <c r="F2174" s="514">
        <v>1063065.32</v>
      </c>
      <c r="G2174" s="514">
        <v>913185.6</v>
      </c>
      <c r="H2174" s="514">
        <v>606415.32999999996</v>
      </c>
      <c r="I2174" s="514">
        <v>460221.31</v>
      </c>
      <c r="J2174" s="514">
        <v>508518.9</v>
      </c>
      <c r="K2174" s="514">
        <v>553732.14</v>
      </c>
      <c r="L2174" s="514">
        <v>599959.01</v>
      </c>
      <c r="M2174" s="514">
        <v>645587.73</v>
      </c>
      <c r="N2174" s="514">
        <v>508673.43</v>
      </c>
      <c r="O2174" s="499"/>
      <c r="P2174" s="499"/>
      <c r="Q2174" s="499"/>
    </row>
    <row r="2175" spans="1:17" ht="14.4" x14ac:dyDescent="0.3">
      <c r="A2175" s="502">
        <v>7500015</v>
      </c>
      <c r="B2175" s="503" t="s">
        <v>1690</v>
      </c>
      <c r="C2175" s="514">
        <v>0</v>
      </c>
      <c r="D2175" s="514">
        <v>0</v>
      </c>
      <c r="E2175" s="514">
        <v>0</v>
      </c>
      <c r="F2175" s="514">
        <v>0</v>
      </c>
      <c r="G2175" s="514">
        <v>0</v>
      </c>
      <c r="H2175" s="514">
        <v>0</v>
      </c>
      <c r="I2175" s="514">
        <v>0</v>
      </c>
      <c r="J2175" s="514">
        <v>0</v>
      </c>
      <c r="K2175" s="514">
        <v>0</v>
      </c>
      <c r="L2175" s="514">
        <v>0</v>
      </c>
      <c r="M2175" s="514">
        <v>0</v>
      </c>
      <c r="N2175" s="514">
        <v>0</v>
      </c>
      <c r="O2175" s="499"/>
      <c r="P2175" s="499"/>
      <c r="Q2175" s="499"/>
    </row>
    <row r="2176" spans="1:17" ht="14.4" x14ac:dyDescent="0.3">
      <c r="A2176" s="502">
        <v>7500016</v>
      </c>
      <c r="B2176" s="503" t="s">
        <v>3560</v>
      </c>
      <c r="C2176" s="514">
        <v>0</v>
      </c>
      <c r="D2176" s="514">
        <v>0</v>
      </c>
      <c r="E2176" s="514">
        <v>0</v>
      </c>
      <c r="F2176" s="514">
        <v>0</v>
      </c>
      <c r="G2176" s="514">
        <v>0</v>
      </c>
      <c r="H2176" s="514">
        <v>0</v>
      </c>
      <c r="I2176" s="514">
        <v>0</v>
      </c>
      <c r="J2176" s="514">
        <v>0</v>
      </c>
      <c r="K2176" s="514">
        <v>0</v>
      </c>
      <c r="L2176" s="514">
        <v>0</v>
      </c>
      <c r="M2176" s="514">
        <v>0</v>
      </c>
      <c r="N2176" s="514">
        <v>0</v>
      </c>
      <c r="O2176" s="499"/>
      <c r="P2176" s="499"/>
      <c r="Q2176" s="499"/>
    </row>
    <row r="2177" spans="1:17" ht="14.4" x14ac:dyDescent="0.3">
      <c r="A2177" s="502">
        <v>7500020</v>
      </c>
      <c r="B2177" s="503" t="s">
        <v>3561</v>
      </c>
      <c r="C2177" s="514">
        <v>0</v>
      </c>
      <c r="D2177" s="514">
        <v>0</v>
      </c>
      <c r="E2177" s="514">
        <v>0</v>
      </c>
      <c r="F2177" s="514">
        <v>0</v>
      </c>
      <c r="G2177" s="514">
        <v>0</v>
      </c>
      <c r="H2177" s="514">
        <v>0</v>
      </c>
      <c r="I2177" s="514">
        <v>0</v>
      </c>
      <c r="J2177" s="514">
        <v>0</v>
      </c>
      <c r="K2177" s="514">
        <v>0</v>
      </c>
      <c r="L2177" s="514">
        <v>0</v>
      </c>
      <c r="M2177" s="514">
        <v>0</v>
      </c>
      <c r="N2177" s="514">
        <v>0</v>
      </c>
      <c r="O2177" s="499"/>
      <c r="P2177" s="499"/>
      <c r="Q2177" s="499"/>
    </row>
    <row r="2178" spans="1:17" ht="14.4" x14ac:dyDescent="0.3">
      <c r="A2178" s="502">
        <v>7500030</v>
      </c>
      <c r="B2178" s="503" t="s">
        <v>1692</v>
      </c>
      <c r="C2178" s="514">
        <v>0</v>
      </c>
      <c r="D2178" s="514">
        <v>0</v>
      </c>
      <c r="E2178" s="514">
        <v>0</v>
      </c>
      <c r="F2178" s="514">
        <v>0</v>
      </c>
      <c r="G2178" s="514">
        <v>0</v>
      </c>
      <c r="H2178" s="514">
        <v>0</v>
      </c>
      <c r="I2178" s="514">
        <v>0</v>
      </c>
      <c r="J2178" s="514">
        <v>0</v>
      </c>
      <c r="K2178" s="514">
        <v>0</v>
      </c>
      <c r="L2178" s="514">
        <v>0</v>
      </c>
      <c r="M2178" s="514">
        <v>0</v>
      </c>
      <c r="N2178" s="514">
        <v>0</v>
      </c>
      <c r="O2178" s="499"/>
      <c r="P2178" s="499"/>
      <c r="Q2178" s="499"/>
    </row>
    <row r="2179" spans="1:17" ht="14.4" x14ac:dyDescent="0.3">
      <c r="A2179" s="502">
        <v>7500040</v>
      </c>
      <c r="B2179" s="503" t="s">
        <v>3562</v>
      </c>
      <c r="C2179" s="514">
        <v>0</v>
      </c>
      <c r="D2179" s="514">
        <v>0</v>
      </c>
      <c r="E2179" s="514">
        <v>0</v>
      </c>
      <c r="F2179" s="514">
        <v>0</v>
      </c>
      <c r="G2179" s="514">
        <v>0</v>
      </c>
      <c r="H2179" s="514">
        <v>0</v>
      </c>
      <c r="I2179" s="514">
        <v>0</v>
      </c>
      <c r="J2179" s="514">
        <v>0</v>
      </c>
      <c r="K2179" s="514">
        <v>0</v>
      </c>
      <c r="L2179" s="514">
        <v>0</v>
      </c>
      <c r="M2179" s="514">
        <v>0</v>
      </c>
      <c r="N2179" s="514">
        <v>0</v>
      </c>
      <c r="O2179" s="499"/>
      <c r="P2179" s="499"/>
      <c r="Q2179" s="499"/>
    </row>
    <row r="2180" spans="1:17" ht="14.4" x14ac:dyDescent="0.3">
      <c r="A2180" s="502">
        <v>7500050</v>
      </c>
      <c r="B2180" s="503" t="s">
        <v>3563</v>
      </c>
      <c r="C2180" s="514">
        <v>0</v>
      </c>
      <c r="D2180" s="514">
        <v>0</v>
      </c>
      <c r="E2180" s="514">
        <v>0</v>
      </c>
      <c r="F2180" s="514">
        <v>0</v>
      </c>
      <c r="G2180" s="514">
        <v>0</v>
      </c>
      <c r="H2180" s="514">
        <v>0</v>
      </c>
      <c r="I2180" s="514">
        <v>0</v>
      </c>
      <c r="J2180" s="514">
        <v>0</v>
      </c>
      <c r="K2180" s="514">
        <v>0</v>
      </c>
      <c r="L2180" s="514">
        <v>0</v>
      </c>
      <c r="M2180" s="514">
        <v>0</v>
      </c>
      <c r="N2180" s="514">
        <v>0</v>
      </c>
      <c r="O2180" s="499"/>
      <c r="P2180" s="499"/>
      <c r="Q2180" s="499"/>
    </row>
    <row r="2181" spans="1:17" ht="14.4" x14ac:dyDescent="0.3">
      <c r="A2181" s="502">
        <v>7500060</v>
      </c>
      <c r="B2181" s="503" t="s">
        <v>1722</v>
      </c>
      <c r="C2181" s="514">
        <v>0</v>
      </c>
      <c r="D2181" s="514">
        <v>0</v>
      </c>
      <c r="E2181" s="514">
        <v>0</v>
      </c>
      <c r="F2181" s="514">
        <v>0</v>
      </c>
      <c r="G2181" s="514">
        <v>0</v>
      </c>
      <c r="H2181" s="514">
        <v>0</v>
      </c>
      <c r="I2181" s="514">
        <v>0</v>
      </c>
      <c r="J2181" s="514">
        <v>0</v>
      </c>
      <c r="K2181" s="514">
        <v>0</v>
      </c>
      <c r="L2181" s="514">
        <v>0</v>
      </c>
      <c r="M2181" s="514">
        <v>0</v>
      </c>
      <c r="N2181" s="514">
        <v>0</v>
      </c>
      <c r="O2181" s="499"/>
      <c r="P2181" s="499"/>
      <c r="Q2181" s="499"/>
    </row>
    <row r="2182" spans="1:17" ht="14.4" x14ac:dyDescent="0.3">
      <c r="A2182" s="502">
        <v>7500080</v>
      </c>
      <c r="B2182" s="503" t="s">
        <v>1694</v>
      </c>
      <c r="C2182" s="514">
        <v>0</v>
      </c>
      <c r="D2182" s="514">
        <v>0</v>
      </c>
      <c r="E2182" s="514">
        <v>0</v>
      </c>
      <c r="F2182" s="514">
        <v>0</v>
      </c>
      <c r="G2182" s="514">
        <v>0</v>
      </c>
      <c r="H2182" s="514">
        <v>0</v>
      </c>
      <c r="I2182" s="514">
        <v>0</v>
      </c>
      <c r="J2182" s="514">
        <v>0</v>
      </c>
      <c r="K2182" s="514">
        <v>0</v>
      </c>
      <c r="L2182" s="514">
        <v>0</v>
      </c>
      <c r="M2182" s="514">
        <v>0</v>
      </c>
      <c r="N2182" s="514">
        <v>0</v>
      </c>
      <c r="O2182" s="499"/>
      <c r="P2182" s="499"/>
      <c r="Q2182" s="499"/>
    </row>
    <row r="2183" spans="1:17" ht="14.4" x14ac:dyDescent="0.3">
      <c r="A2183" s="502">
        <v>7500085</v>
      </c>
      <c r="B2183" s="503" t="s">
        <v>3564</v>
      </c>
      <c r="C2183" s="514">
        <v>0</v>
      </c>
      <c r="D2183" s="514">
        <v>0</v>
      </c>
      <c r="E2183" s="514">
        <v>0</v>
      </c>
      <c r="F2183" s="514">
        <v>0</v>
      </c>
      <c r="G2183" s="514">
        <v>0</v>
      </c>
      <c r="H2183" s="514">
        <v>0</v>
      </c>
      <c r="I2183" s="514">
        <v>0</v>
      </c>
      <c r="J2183" s="514">
        <v>0</v>
      </c>
      <c r="K2183" s="514">
        <v>0</v>
      </c>
      <c r="L2183" s="514">
        <v>0</v>
      </c>
      <c r="M2183" s="514">
        <v>0</v>
      </c>
      <c r="N2183" s="514">
        <v>0</v>
      </c>
      <c r="O2183" s="499"/>
      <c r="P2183" s="499"/>
      <c r="Q2183" s="499"/>
    </row>
    <row r="2184" spans="1:17" ht="14.4" x14ac:dyDescent="0.3">
      <c r="A2184" s="502">
        <v>7500090</v>
      </c>
      <c r="B2184" s="503" t="s">
        <v>1696</v>
      </c>
      <c r="C2184" s="514">
        <v>1253807.99</v>
      </c>
      <c r="D2184" s="514">
        <v>1303125.78</v>
      </c>
      <c r="E2184" s="514">
        <v>1579440.32</v>
      </c>
      <c r="F2184" s="514">
        <v>1703805.86</v>
      </c>
      <c r="G2184" s="514">
        <v>1812250.23</v>
      </c>
      <c r="H2184" s="514">
        <v>2003780.96</v>
      </c>
      <c r="I2184" s="514">
        <v>2127390.1</v>
      </c>
      <c r="J2184" s="514">
        <v>2203771.84</v>
      </c>
      <c r="K2184" s="514">
        <v>2302243.16</v>
      </c>
      <c r="L2184" s="514">
        <v>2117897.38</v>
      </c>
      <c r="M2184" s="514">
        <v>2224997.39</v>
      </c>
      <c r="N2184" s="514">
        <v>2604889.15</v>
      </c>
      <c r="O2184" s="499"/>
      <c r="P2184" s="499"/>
      <c r="Q2184" s="499"/>
    </row>
    <row r="2185" spans="1:17" ht="14.4" x14ac:dyDescent="0.3">
      <c r="A2185" s="502">
        <v>7500100</v>
      </c>
      <c r="B2185" s="503" t="s">
        <v>3565</v>
      </c>
      <c r="C2185" s="514">
        <v>0</v>
      </c>
      <c r="D2185" s="514">
        <v>0</v>
      </c>
      <c r="E2185" s="514">
        <v>0</v>
      </c>
      <c r="F2185" s="514">
        <v>0</v>
      </c>
      <c r="G2185" s="514">
        <v>0</v>
      </c>
      <c r="H2185" s="514">
        <v>0</v>
      </c>
      <c r="I2185" s="514">
        <v>0</v>
      </c>
      <c r="J2185" s="514">
        <v>0</v>
      </c>
      <c r="K2185" s="514">
        <v>0</v>
      </c>
      <c r="L2185" s="514">
        <v>0</v>
      </c>
      <c r="M2185" s="514">
        <v>0</v>
      </c>
      <c r="N2185" s="514">
        <v>0</v>
      </c>
      <c r="O2185" s="499"/>
      <c r="P2185" s="499"/>
      <c r="Q2185" s="499"/>
    </row>
    <row r="2186" spans="1:17" ht="14.4" x14ac:dyDescent="0.3">
      <c r="A2186" s="502">
        <v>7500110</v>
      </c>
      <c r="B2186" s="503" t="s">
        <v>1674</v>
      </c>
      <c r="C2186" s="514">
        <v>0</v>
      </c>
      <c r="D2186" s="514">
        <v>0</v>
      </c>
      <c r="E2186" s="514">
        <v>0</v>
      </c>
      <c r="F2186" s="514">
        <v>0</v>
      </c>
      <c r="G2186" s="514">
        <v>0</v>
      </c>
      <c r="H2186" s="514">
        <v>0</v>
      </c>
      <c r="I2186" s="514">
        <v>0</v>
      </c>
      <c r="J2186" s="514">
        <v>0</v>
      </c>
      <c r="K2186" s="514">
        <v>0</v>
      </c>
      <c r="L2186" s="514">
        <v>0</v>
      </c>
      <c r="M2186" s="514">
        <v>0</v>
      </c>
      <c r="N2186" s="514">
        <v>0</v>
      </c>
      <c r="O2186" s="499"/>
      <c r="P2186" s="499"/>
      <c r="Q2186" s="499"/>
    </row>
    <row r="2187" spans="1:17" ht="14.4" x14ac:dyDescent="0.3">
      <c r="A2187" s="502">
        <v>7500111</v>
      </c>
      <c r="B2187" s="503" t="s">
        <v>3566</v>
      </c>
      <c r="C2187" s="514">
        <v>0</v>
      </c>
      <c r="D2187" s="514">
        <v>0</v>
      </c>
      <c r="E2187" s="514">
        <v>0</v>
      </c>
      <c r="F2187" s="514">
        <v>0</v>
      </c>
      <c r="G2187" s="514">
        <v>0</v>
      </c>
      <c r="H2187" s="514">
        <v>0</v>
      </c>
      <c r="I2187" s="514">
        <v>0</v>
      </c>
      <c r="J2187" s="514">
        <v>0</v>
      </c>
      <c r="K2187" s="514">
        <v>0</v>
      </c>
      <c r="L2187" s="514">
        <v>0</v>
      </c>
      <c r="M2187" s="514">
        <v>0</v>
      </c>
      <c r="N2187" s="514">
        <v>0</v>
      </c>
      <c r="O2187" s="499"/>
      <c r="P2187" s="499"/>
      <c r="Q2187" s="499"/>
    </row>
    <row r="2188" spans="1:17" ht="14.4" x14ac:dyDescent="0.3">
      <c r="A2188" s="502">
        <v>7500120</v>
      </c>
      <c r="B2188" s="503" t="s">
        <v>1676</v>
      </c>
      <c r="C2188" s="514">
        <v>0</v>
      </c>
      <c r="D2188" s="514">
        <v>0</v>
      </c>
      <c r="E2188" s="514">
        <v>0</v>
      </c>
      <c r="F2188" s="514">
        <v>0</v>
      </c>
      <c r="G2188" s="514">
        <v>0</v>
      </c>
      <c r="H2188" s="514">
        <v>0</v>
      </c>
      <c r="I2188" s="514">
        <v>0</v>
      </c>
      <c r="J2188" s="514">
        <v>0</v>
      </c>
      <c r="K2188" s="514">
        <v>0</v>
      </c>
      <c r="L2188" s="514">
        <v>0</v>
      </c>
      <c r="M2188" s="514">
        <v>0</v>
      </c>
      <c r="N2188" s="514">
        <v>0</v>
      </c>
      <c r="O2188" s="499"/>
      <c r="P2188" s="499"/>
      <c r="Q2188" s="499"/>
    </row>
    <row r="2189" spans="1:17" ht="14.4" x14ac:dyDescent="0.3">
      <c r="A2189" s="502">
        <v>7500125</v>
      </c>
      <c r="B2189" s="503" t="s">
        <v>3567</v>
      </c>
      <c r="C2189" s="514">
        <v>0</v>
      </c>
      <c r="D2189" s="514">
        <v>0</v>
      </c>
      <c r="E2189" s="514">
        <v>0</v>
      </c>
      <c r="F2189" s="514">
        <v>0</v>
      </c>
      <c r="G2189" s="514">
        <v>0</v>
      </c>
      <c r="H2189" s="514">
        <v>0</v>
      </c>
      <c r="I2189" s="514">
        <v>0</v>
      </c>
      <c r="J2189" s="514">
        <v>0</v>
      </c>
      <c r="K2189" s="514">
        <v>0</v>
      </c>
      <c r="L2189" s="514">
        <v>0</v>
      </c>
      <c r="M2189" s="514">
        <v>0</v>
      </c>
      <c r="N2189" s="514">
        <v>0</v>
      </c>
      <c r="O2189" s="499"/>
      <c r="P2189" s="499"/>
      <c r="Q2189" s="499"/>
    </row>
    <row r="2190" spans="1:17" ht="14.4" x14ac:dyDescent="0.3">
      <c r="A2190" s="502">
        <v>7500130</v>
      </c>
      <c r="B2190" s="503" t="s">
        <v>1678</v>
      </c>
      <c r="C2190" s="514">
        <v>0</v>
      </c>
      <c r="D2190" s="514">
        <v>0</v>
      </c>
      <c r="E2190" s="514">
        <v>0</v>
      </c>
      <c r="F2190" s="514">
        <v>0</v>
      </c>
      <c r="G2190" s="514">
        <v>0</v>
      </c>
      <c r="H2190" s="514">
        <v>0</v>
      </c>
      <c r="I2190" s="514">
        <v>0</v>
      </c>
      <c r="J2190" s="514">
        <v>0</v>
      </c>
      <c r="K2190" s="514">
        <v>0</v>
      </c>
      <c r="L2190" s="514">
        <v>0</v>
      </c>
      <c r="M2190" s="514">
        <v>0</v>
      </c>
      <c r="N2190" s="514">
        <v>0</v>
      </c>
      <c r="O2190" s="499"/>
      <c r="P2190" s="499"/>
      <c r="Q2190" s="499"/>
    </row>
    <row r="2191" spans="1:17" ht="14.4" x14ac:dyDescent="0.3">
      <c r="A2191" s="502">
        <v>7500131</v>
      </c>
      <c r="B2191" s="503" t="s">
        <v>3568</v>
      </c>
      <c r="C2191" s="514">
        <v>0</v>
      </c>
      <c r="D2191" s="514">
        <v>0</v>
      </c>
      <c r="E2191" s="514">
        <v>0</v>
      </c>
      <c r="F2191" s="514">
        <v>0</v>
      </c>
      <c r="G2191" s="514">
        <v>0</v>
      </c>
      <c r="H2191" s="514">
        <v>0</v>
      </c>
      <c r="I2191" s="514">
        <v>0</v>
      </c>
      <c r="J2191" s="514">
        <v>0</v>
      </c>
      <c r="K2191" s="514">
        <v>0</v>
      </c>
      <c r="L2191" s="514">
        <v>0</v>
      </c>
      <c r="M2191" s="514">
        <v>0</v>
      </c>
      <c r="N2191" s="514">
        <v>0</v>
      </c>
      <c r="O2191" s="499"/>
      <c r="P2191" s="499"/>
      <c r="Q2191" s="499"/>
    </row>
    <row r="2192" spans="1:17" ht="14.4" x14ac:dyDescent="0.3">
      <c r="A2192" s="502">
        <v>7500190</v>
      </c>
      <c r="B2192" s="503" t="s">
        <v>3569</v>
      </c>
      <c r="C2192" s="514">
        <v>0</v>
      </c>
      <c r="D2192" s="514">
        <v>0</v>
      </c>
      <c r="E2192" s="514">
        <v>0</v>
      </c>
      <c r="F2192" s="514">
        <v>0</v>
      </c>
      <c r="G2192" s="514">
        <v>0</v>
      </c>
      <c r="H2192" s="514">
        <v>0</v>
      </c>
      <c r="I2192" s="514">
        <v>0</v>
      </c>
      <c r="J2192" s="514">
        <v>0</v>
      </c>
      <c r="K2192" s="514">
        <v>0</v>
      </c>
      <c r="L2192" s="514">
        <v>0</v>
      </c>
      <c r="M2192" s="514">
        <v>0</v>
      </c>
      <c r="N2192" s="514">
        <v>0</v>
      </c>
      <c r="O2192" s="499"/>
      <c r="P2192" s="499"/>
      <c r="Q2192" s="499"/>
    </row>
    <row r="2193" spans="1:17" ht="14.4" x14ac:dyDescent="0.3">
      <c r="A2193" s="502">
        <v>7500220</v>
      </c>
      <c r="B2193" s="503" t="s">
        <v>3570</v>
      </c>
      <c r="C2193" s="514">
        <v>0</v>
      </c>
      <c r="D2193" s="514">
        <v>0</v>
      </c>
      <c r="E2193" s="514">
        <v>0</v>
      </c>
      <c r="F2193" s="514">
        <v>0</v>
      </c>
      <c r="G2193" s="514">
        <v>0</v>
      </c>
      <c r="H2193" s="514">
        <v>0</v>
      </c>
      <c r="I2193" s="514">
        <v>0</v>
      </c>
      <c r="J2193" s="514">
        <v>0</v>
      </c>
      <c r="K2193" s="514">
        <v>0</v>
      </c>
      <c r="L2193" s="514">
        <v>0</v>
      </c>
      <c r="M2193" s="514">
        <v>0</v>
      </c>
      <c r="N2193" s="514">
        <v>0</v>
      </c>
      <c r="O2193" s="499"/>
      <c r="P2193" s="499"/>
      <c r="Q2193" s="499"/>
    </row>
    <row r="2194" spans="1:17" ht="14.4" x14ac:dyDescent="0.3">
      <c r="A2194" s="502">
        <v>7500230</v>
      </c>
      <c r="B2194" s="503" t="s">
        <v>1698</v>
      </c>
      <c r="C2194" s="514">
        <v>0</v>
      </c>
      <c r="D2194" s="514">
        <v>0</v>
      </c>
      <c r="E2194" s="514">
        <v>0</v>
      </c>
      <c r="F2194" s="514">
        <v>0</v>
      </c>
      <c r="G2194" s="514">
        <v>0</v>
      </c>
      <c r="H2194" s="514">
        <v>0</v>
      </c>
      <c r="I2194" s="514">
        <v>0</v>
      </c>
      <c r="J2194" s="514">
        <v>0</v>
      </c>
      <c r="K2194" s="514">
        <v>0</v>
      </c>
      <c r="L2194" s="514">
        <v>0</v>
      </c>
      <c r="M2194" s="514">
        <v>0</v>
      </c>
      <c r="N2194" s="514">
        <v>0</v>
      </c>
      <c r="O2194" s="499"/>
      <c r="P2194" s="499"/>
      <c r="Q2194" s="499"/>
    </row>
    <row r="2195" spans="1:17" ht="14.4" x14ac:dyDescent="0.3">
      <c r="A2195" s="502">
        <v>7500240</v>
      </c>
      <c r="B2195" s="503" t="s">
        <v>1700</v>
      </c>
      <c r="C2195" s="514">
        <v>0</v>
      </c>
      <c r="D2195" s="514">
        <v>0</v>
      </c>
      <c r="E2195" s="514">
        <v>0</v>
      </c>
      <c r="F2195" s="514">
        <v>0</v>
      </c>
      <c r="G2195" s="514">
        <v>0</v>
      </c>
      <c r="H2195" s="514">
        <v>0</v>
      </c>
      <c r="I2195" s="514">
        <v>0</v>
      </c>
      <c r="J2195" s="514">
        <v>0</v>
      </c>
      <c r="K2195" s="514">
        <v>0</v>
      </c>
      <c r="L2195" s="514">
        <v>0</v>
      </c>
      <c r="M2195" s="514">
        <v>0</v>
      </c>
      <c r="N2195" s="514">
        <v>0</v>
      </c>
      <c r="O2195" s="499"/>
      <c r="P2195" s="499"/>
      <c r="Q2195" s="499"/>
    </row>
    <row r="2196" spans="1:17" ht="14.4" x14ac:dyDescent="0.3">
      <c r="A2196" s="502">
        <v>7500250</v>
      </c>
      <c r="B2196" s="503" t="s">
        <v>1702</v>
      </c>
      <c r="C2196" s="514">
        <v>0</v>
      </c>
      <c r="D2196" s="514">
        <v>0</v>
      </c>
      <c r="E2196" s="514">
        <v>0</v>
      </c>
      <c r="F2196" s="514">
        <v>0</v>
      </c>
      <c r="G2196" s="514">
        <v>0</v>
      </c>
      <c r="H2196" s="514">
        <v>0</v>
      </c>
      <c r="I2196" s="514">
        <v>0</v>
      </c>
      <c r="J2196" s="514">
        <v>0</v>
      </c>
      <c r="K2196" s="514">
        <v>0</v>
      </c>
      <c r="L2196" s="514">
        <v>0</v>
      </c>
      <c r="M2196" s="514">
        <v>0</v>
      </c>
      <c r="N2196" s="514">
        <v>0</v>
      </c>
      <c r="O2196" s="499"/>
      <c r="P2196" s="499"/>
      <c r="Q2196" s="499"/>
    </row>
    <row r="2197" spans="1:17" ht="14.4" x14ac:dyDescent="0.3">
      <c r="A2197" s="502">
        <v>7500260</v>
      </c>
      <c r="B2197" s="503" t="s">
        <v>3571</v>
      </c>
      <c r="C2197" s="514">
        <v>0</v>
      </c>
      <c r="D2197" s="514">
        <v>0</v>
      </c>
      <c r="E2197" s="514">
        <v>0</v>
      </c>
      <c r="F2197" s="514">
        <v>0</v>
      </c>
      <c r="G2197" s="514">
        <v>0</v>
      </c>
      <c r="H2197" s="514">
        <v>0</v>
      </c>
      <c r="I2197" s="514">
        <v>0</v>
      </c>
      <c r="J2197" s="514">
        <v>0</v>
      </c>
      <c r="K2197" s="514">
        <v>0</v>
      </c>
      <c r="L2197" s="514">
        <v>0</v>
      </c>
      <c r="M2197" s="514">
        <v>0</v>
      </c>
      <c r="N2197" s="514">
        <v>0</v>
      </c>
      <c r="O2197" s="499"/>
      <c r="P2197" s="499"/>
      <c r="Q2197" s="499"/>
    </row>
    <row r="2198" spans="1:17" ht="14.4" x14ac:dyDescent="0.3">
      <c r="A2198" s="502">
        <v>7500271</v>
      </c>
      <c r="B2198" s="503" t="s">
        <v>3572</v>
      </c>
      <c r="C2198" s="514">
        <v>0</v>
      </c>
      <c r="D2198" s="514">
        <v>0</v>
      </c>
      <c r="E2198" s="514">
        <v>0</v>
      </c>
      <c r="F2198" s="514">
        <v>0</v>
      </c>
      <c r="G2198" s="514">
        <v>0</v>
      </c>
      <c r="H2198" s="514">
        <v>0</v>
      </c>
      <c r="I2198" s="514">
        <v>0</v>
      </c>
      <c r="J2198" s="514">
        <v>0</v>
      </c>
      <c r="K2198" s="514">
        <v>0</v>
      </c>
      <c r="L2198" s="514">
        <v>0</v>
      </c>
      <c r="M2198" s="514">
        <v>0</v>
      </c>
      <c r="N2198" s="514">
        <v>0</v>
      </c>
      <c r="O2198" s="499"/>
      <c r="P2198" s="499"/>
      <c r="Q2198" s="499"/>
    </row>
    <row r="2199" spans="1:17" ht="14.4" x14ac:dyDescent="0.3">
      <c r="A2199" s="502">
        <v>7500290</v>
      </c>
      <c r="B2199" s="503" t="s">
        <v>1708</v>
      </c>
      <c r="C2199" s="514">
        <v>0</v>
      </c>
      <c r="D2199" s="514">
        <v>0</v>
      </c>
      <c r="E2199" s="514">
        <v>0</v>
      </c>
      <c r="F2199" s="514">
        <v>0</v>
      </c>
      <c r="G2199" s="514">
        <v>0</v>
      </c>
      <c r="H2199" s="514">
        <v>0</v>
      </c>
      <c r="I2199" s="514">
        <v>0</v>
      </c>
      <c r="J2199" s="514">
        <v>0</v>
      </c>
      <c r="K2199" s="514">
        <v>0</v>
      </c>
      <c r="L2199" s="514">
        <v>0</v>
      </c>
      <c r="M2199" s="514">
        <v>0</v>
      </c>
      <c r="N2199" s="514">
        <v>0</v>
      </c>
      <c r="O2199" s="499"/>
      <c r="P2199" s="499"/>
      <c r="Q2199" s="499"/>
    </row>
    <row r="2200" spans="1:17" ht="14.4" x14ac:dyDescent="0.3">
      <c r="A2200" s="502">
        <v>7500291</v>
      </c>
      <c r="B2200" s="503" t="s">
        <v>1726</v>
      </c>
      <c r="C2200" s="514">
        <v>0</v>
      </c>
      <c r="D2200" s="514">
        <v>0</v>
      </c>
      <c r="E2200" s="514">
        <v>0</v>
      </c>
      <c r="F2200" s="514">
        <v>0</v>
      </c>
      <c r="G2200" s="514">
        <v>0</v>
      </c>
      <c r="H2200" s="514">
        <v>0</v>
      </c>
      <c r="I2200" s="514">
        <v>0</v>
      </c>
      <c r="J2200" s="514">
        <v>0</v>
      </c>
      <c r="K2200" s="514">
        <v>0</v>
      </c>
      <c r="L2200" s="514">
        <v>0</v>
      </c>
      <c r="M2200" s="514">
        <v>0</v>
      </c>
      <c r="N2200" s="514">
        <v>0</v>
      </c>
      <c r="O2200" s="499"/>
      <c r="P2200" s="499"/>
      <c r="Q2200" s="499"/>
    </row>
    <row r="2201" spans="1:17" ht="14.4" x14ac:dyDescent="0.3">
      <c r="A2201" s="502">
        <v>7500700</v>
      </c>
      <c r="B2201" s="503" t="s">
        <v>1668</v>
      </c>
      <c r="C2201" s="514">
        <v>0</v>
      </c>
      <c r="D2201" s="514">
        <v>0</v>
      </c>
      <c r="E2201" s="514">
        <v>0</v>
      </c>
      <c r="F2201" s="514">
        <v>0</v>
      </c>
      <c r="G2201" s="514">
        <v>0</v>
      </c>
      <c r="H2201" s="514">
        <v>0</v>
      </c>
      <c r="I2201" s="514">
        <v>0</v>
      </c>
      <c r="J2201" s="514">
        <v>0</v>
      </c>
      <c r="K2201" s="514">
        <v>0</v>
      </c>
      <c r="L2201" s="514">
        <v>0</v>
      </c>
      <c r="M2201" s="514">
        <v>0</v>
      </c>
      <c r="N2201" s="514">
        <v>0</v>
      </c>
      <c r="O2201" s="499"/>
      <c r="P2201" s="499"/>
      <c r="Q2201" s="499"/>
    </row>
    <row r="2202" spans="1:17" ht="14.4" x14ac:dyDescent="0.3">
      <c r="A2202" s="502">
        <v>7500800</v>
      </c>
      <c r="B2202" s="503" t="s">
        <v>1704</v>
      </c>
      <c r="C2202" s="514">
        <v>0</v>
      </c>
      <c r="D2202" s="514">
        <v>0</v>
      </c>
      <c r="E2202" s="514">
        <v>0</v>
      </c>
      <c r="F2202" s="514">
        <v>0</v>
      </c>
      <c r="G2202" s="514">
        <v>0</v>
      </c>
      <c r="H2202" s="514">
        <v>0</v>
      </c>
      <c r="I2202" s="514">
        <v>0</v>
      </c>
      <c r="J2202" s="514">
        <v>0</v>
      </c>
      <c r="K2202" s="514">
        <v>0</v>
      </c>
      <c r="L2202" s="514">
        <v>0</v>
      </c>
      <c r="M2202" s="514">
        <v>0</v>
      </c>
      <c r="N2202" s="514">
        <v>0</v>
      </c>
      <c r="O2202" s="499"/>
      <c r="P2202" s="499"/>
      <c r="Q2202" s="499"/>
    </row>
    <row r="2203" spans="1:17" ht="14.4" x14ac:dyDescent="0.3">
      <c r="A2203" s="502">
        <v>7509000</v>
      </c>
      <c r="B2203" s="503" t="s">
        <v>1706</v>
      </c>
      <c r="C2203" s="514">
        <v>0</v>
      </c>
      <c r="D2203" s="514">
        <v>0</v>
      </c>
      <c r="E2203" s="514">
        <v>0</v>
      </c>
      <c r="F2203" s="514">
        <v>0</v>
      </c>
      <c r="G2203" s="514">
        <v>0</v>
      </c>
      <c r="H2203" s="514">
        <v>0</v>
      </c>
      <c r="I2203" s="514">
        <v>0</v>
      </c>
      <c r="J2203" s="514">
        <v>0</v>
      </c>
      <c r="K2203" s="514">
        <v>0</v>
      </c>
      <c r="L2203" s="514">
        <v>0</v>
      </c>
      <c r="M2203" s="514">
        <v>0</v>
      </c>
      <c r="N2203" s="514">
        <v>0</v>
      </c>
      <c r="O2203" s="499"/>
      <c r="P2203" s="499"/>
      <c r="Q2203" s="499"/>
    </row>
    <row r="2204" spans="1:17" ht="14.4" x14ac:dyDescent="0.3">
      <c r="A2204" s="502">
        <v>8000300</v>
      </c>
      <c r="B2204" s="503" t="s">
        <v>1738</v>
      </c>
      <c r="C2204" s="514">
        <v>127269.62</v>
      </c>
      <c r="D2204" s="514">
        <v>107844.35</v>
      </c>
      <c r="E2204" s="514">
        <v>103002.16</v>
      </c>
      <c r="F2204" s="514">
        <v>108280.94</v>
      </c>
      <c r="G2204" s="514">
        <v>101672.55</v>
      </c>
      <c r="H2204" s="514">
        <v>102089.29</v>
      </c>
      <c r="I2204" s="514">
        <v>655586.18999999994</v>
      </c>
      <c r="J2204" s="514">
        <v>456560.69</v>
      </c>
      <c r="K2204" s="514">
        <v>105125.58</v>
      </c>
      <c r="L2204" s="514">
        <v>115067.92</v>
      </c>
      <c r="M2204" s="514">
        <v>105165.27</v>
      </c>
      <c r="N2204" s="514">
        <v>112130.87</v>
      </c>
      <c r="O2204" s="499"/>
      <c r="P2204" s="499"/>
      <c r="Q2204" s="499"/>
    </row>
    <row r="2205" spans="1:17" ht="14.4" x14ac:dyDescent="0.3">
      <c r="A2205" s="502">
        <v>8000310</v>
      </c>
      <c r="B2205" s="503" t="s">
        <v>1740</v>
      </c>
      <c r="C2205" s="514">
        <v>7307717.1699999999</v>
      </c>
      <c r="D2205" s="514">
        <v>2275391.91</v>
      </c>
      <c r="E2205" s="514">
        <v>8291053.2000000002</v>
      </c>
      <c r="F2205" s="514">
        <v>1394248.71</v>
      </c>
      <c r="G2205" s="514">
        <v>2923029.86</v>
      </c>
      <c r="H2205" s="514">
        <v>6225278.7300000004</v>
      </c>
      <c r="I2205" s="514">
        <v>6302019.3499999996</v>
      </c>
      <c r="J2205" s="514">
        <v>6717911.21</v>
      </c>
      <c r="K2205" s="514">
        <v>3403492.98</v>
      </c>
      <c r="L2205" s="514">
        <v>918536.61</v>
      </c>
      <c r="M2205" s="514">
        <v>3721046.18</v>
      </c>
      <c r="N2205" s="514">
        <v>2942107.9</v>
      </c>
      <c r="O2205" s="499"/>
      <c r="P2205" s="499"/>
      <c r="Q2205" s="499"/>
    </row>
    <row r="2206" spans="1:17" ht="14.4" x14ac:dyDescent="0.3">
      <c r="A2206" s="502">
        <v>8000400</v>
      </c>
      <c r="B2206" s="503" t="s">
        <v>1742</v>
      </c>
      <c r="C2206" s="514">
        <v>35272.51</v>
      </c>
      <c r="D2206" s="514">
        <v>29888.83</v>
      </c>
      <c r="E2206" s="514">
        <v>28546.84</v>
      </c>
      <c r="F2206" s="514">
        <v>30009.83</v>
      </c>
      <c r="G2206" s="514">
        <v>28178.33</v>
      </c>
      <c r="H2206" s="514">
        <v>28293.83</v>
      </c>
      <c r="I2206" s="514">
        <v>181694.34</v>
      </c>
      <c r="J2206" s="514">
        <v>126534.83</v>
      </c>
      <c r="K2206" s="514">
        <v>29135.34</v>
      </c>
      <c r="L2206" s="514">
        <v>31890.83</v>
      </c>
      <c r="M2206" s="514">
        <v>29146.33</v>
      </c>
      <c r="N2206" s="514">
        <v>31076.84</v>
      </c>
      <c r="O2206" s="499"/>
      <c r="P2206" s="499"/>
      <c r="Q2206" s="499"/>
    </row>
    <row r="2207" spans="1:17" ht="14.4" x14ac:dyDescent="0.3">
      <c r="A2207" s="502">
        <v>8000410</v>
      </c>
      <c r="B2207" s="503" t="s">
        <v>1744</v>
      </c>
      <c r="C2207" s="514">
        <v>2112382.37</v>
      </c>
      <c r="D2207" s="514">
        <v>717684.02</v>
      </c>
      <c r="E2207" s="514">
        <v>2384911.88</v>
      </c>
      <c r="F2207" s="514">
        <v>473477.03</v>
      </c>
      <c r="G2207" s="514">
        <v>723047.64</v>
      </c>
      <c r="H2207" s="514">
        <v>1638258.97</v>
      </c>
      <c r="I2207" s="514">
        <v>1659527.47</v>
      </c>
      <c r="J2207" s="514">
        <v>1774791.03</v>
      </c>
      <c r="K2207" s="514">
        <v>856206.99</v>
      </c>
      <c r="L2207" s="514">
        <v>167506.54999999999</v>
      </c>
      <c r="M2207" s="514">
        <v>1118344.05</v>
      </c>
      <c r="N2207" s="514">
        <v>902462.95</v>
      </c>
      <c r="O2207" s="499"/>
      <c r="P2207" s="499"/>
      <c r="Q2207" s="499"/>
    </row>
    <row r="2208" spans="1:17" ht="14.4" x14ac:dyDescent="0.3">
      <c r="A2208" s="502">
        <v>8000500</v>
      </c>
      <c r="B2208" s="503" t="s">
        <v>3573</v>
      </c>
      <c r="C2208" s="514">
        <v>0</v>
      </c>
      <c r="D2208" s="514">
        <v>0</v>
      </c>
      <c r="E2208" s="514">
        <v>0</v>
      </c>
      <c r="F2208" s="514">
        <v>0</v>
      </c>
      <c r="G2208" s="514">
        <v>0</v>
      </c>
      <c r="H2208" s="514">
        <v>0</v>
      </c>
      <c r="I2208" s="514">
        <v>0</v>
      </c>
      <c r="J2208" s="514">
        <v>0</v>
      </c>
      <c r="K2208" s="514">
        <v>0</v>
      </c>
      <c r="L2208" s="514">
        <v>0</v>
      </c>
      <c r="M2208" s="514">
        <v>0</v>
      </c>
      <c r="N2208" s="514">
        <v>0</v>
      </c>
      <c r="O2208" s="499"/>
      <c r="P2208" s="499"/>
      <c r="Q2208" s="499"/>
    </row>
    <row r="2209" spans="1:17" ht="14.4" x14ac:dyDescent="0.3">
      <c r="A2209" s="502">
        <v>8009000</v>
      </c>
      <c r="B2209" s="503" t="s">
        <v>3574</v>
      </c>
      <c r="C2209" s="514">
        <v>0</v>
      </c>
      <c r="D2209" s="514">
        <v>0</v>
      </c>
      <c r="E2209" s="514">
        <v>0</v>
      </c>
      <c r="F2209" s="514">
        <v>0</v>
      </c>
      <c r="G2209" s="514">
        <v>0</v>
      </c>
      <c r="H2209" s="514">
        <v>0</v>
      </c>
      <c r="I2209" s="514">
        <v>0</v>
      </c>
      <c r="J2209" s="514">
        <v>0</v>
      </c>
      <c r="K2209" s="514">
        <v>0</v>
      </c>
      <c r="L2209" s="514">
        <v>0</v>
      </c>
      <c r="M2209" s="514">
        <v>0</v>
      </c>
      <c r="N2209" s="514">
        <v>0</v>
      </c>
      <c r="O2209" s="499"/>
      <c r="P2209" s="499"/>
      <c r="Q2209" s="499"/>
    </row>
    <row r="2210" spans="1:17" ht="14.4" x14ac:dyDescent="0.3">
      <c r="A2210" s="502">
        <v>8010300</v>
      </c>
      <c r="B2210" s="503" t="s">
        <v>1748</v>
      </c>
      <c r="C2210" s="514">
        <v>17672588.02</v>
      </c>
      <c r="D2210" s="514">
        <v>8640816.5600000005</v>
      </c>
      <c r="E2210" s="514">
        <v>18213699.57</v>
      </c>
      <c r="F2210" s="514">
        <v>8515039.6999999993</v>
      </c>
      <c r="G2210" s="514">
        <v>7796710.3700000001</v>
      </c>
      <c r="H2210" s="514">
        <v>7883047.9299999997</v>
      </c>
      <c r="I2210" s="514">
        <v>7857502.1799999997</v>
      </c>
      <c r="J2210" s="514">
        <v>7960669.0899999999</v>
      </c>
      <c r="K2210" s="514">
        <v>7673284.0599999996</v>
      </c>
      <c r="L2210" s="514">
        <v>7949345.2999999998</v>
      </c>
      <c r="M2210" s="514">
        <v>8134000.0700000003</v>
      </c>
      <c r="N2210" s="514">
        <v>13299497.32</v>
      </c>
      <c r="O2210" s="499"/>
      <c r="P2210" s="499"/>
      <c r="Q2210" s="499"/>
    </row>
    <row r="2211" spans="1:17" ht="14.4" x14ac:dyDescent="0.3">
      <c r="A2211" s="502">
        <v>8010305</v>
      </c>
      <c r="B2211" s="503" t="s">
        <v>1750</v>
      </c>
      <c r="C2211" s="514">
        <v>0</v>
      </c>
      <c r="D2211" s="514">
        <v>0</v>
      </c>
      <c r="E2211" s="514">
        <v>0</v>
      </c>
      <c r="F2211" s="514">
        <v>0</v>
      </c>
      <c r="G2211" s="514">
        <v>0</v>
      </c>
      <c r="H2211" s="514">
        <v>0</v>
      </c>
      <c r="I2211" s="514">
        <v>0</v>
      </c>
      <c r="J2211" s="514">
        <v>0</v>
      </c>
      <c r="K2211" s="514">
        <v>0</v>
      </c>
      <c r="L2211" s="514">
        <v>0</v>
      </c>
      <c r="M2211" s="514">
        <v>0</v>
      </c>
      <c r="N2211" s="514">
        <v>0</v>
      </c>
      <c r="O2211" s="499"/>
      <c r="P2211" s="499"/>
      <c r="Q2211" s="499"/>
    </row>
    <row r="2212" spans="1:17" ht="14.4" x14ac:dyDescent="0.3">
      <c r="A2212" s="502">
        <v>8010310</v>
      </c>
      <c r="B2212" s="503" t="s">
        <v>1752</v>
      </c>
      <c r="C2212" s="514">
        <v>8257951.9800000004</v>
      </c>
      <c r="D2212" s="514">
        <v>20960600.129999999</v>
      </c>
      <c r="E2212" s="514">
        <v>6554323.54</v>
      </c>
      <c r="F2212" s="514">
        <v>32820288.539999999</v>
      </c>
      <c r="G2212" s="514">
        <v>7660022.3499999996</v>
      </c>
      <c r="H2212" s="514">
        <v>9152081.6999999993</v>
      </c>
      <c r="I2212" s="514">
        <v>7575382.0099999998</v>
      </c>
      <c r="J2212" s="514">
        <v>7493134.0099999998</v>
      </c>
      <c r="K2212" s="514">
        <v>16182330.189999999</v>
      </c>
      <c r="L2212" s="514">
        <v>6503650</v>
      </c>
      <c r="M2212" s="514">
        <v>5395057.3200000003</v>
      </c>
      <c r="N2212" s="514">
        <v>6458392.9100000001</v>
      </c>
      <c r="O2212" s="499"/>
      <c r="P2212" s="499"/>
      <c r="Q2212" s="499"/>
    </row>
    <row r="2213" spans="1:17" ht="14.4" x14ac:dyDescent="0.3">
      <c r="A2213" s="502">
        <v>8010315</v>
      </c>
      <c r="B2213" s="503" t="s">
        <v>1754</v>
      </c>
      <c r="C2213" s="514">
        <v>0</v>
      </c>
      <c r="D2213" s="514">
        <v>0</v>
      </c>
      <c r="E2213" s="514">
        <v>0</v>
      </c>
      <c r="F2213" s="514">
        <v>0</v>
      </c>
      <c r="G2213" s="514">
        <v>0</v>
      </c>
      <c r="H2213" s="514">
        <v>0</v>
      </c>
      <c r="I2213" s="514">
        <v>0</v>
      </c>
      <c r="J2213" s="514">
        <v>0</v>
      </c>
      <c r="K2213" s="514">
        <v>0</v>
      </c>
      <c r="L2213" s="514">
        <v>0</v>
      </c>
      <c r="M2213" s="514">
        <v>0</v>
      </c>
      <c r="N2213" s="514">
        <v>0</v>
      </c>
      <c r="O2213" s="499"/>
      <c r="P2213" s="499"/>
      <c r="Q2213" s="499"/>
    </row>
    <row r="2214" spans="1:17" ht="14.4" x14ac:dyDescent="0.3">
      <c r="A2214" s="502">
        <v>8010320</v>
      </c>
      <c r="B2214" s="503" t="s">
        <v>1756</v>
      </c>
      <c r="C2214" s="514">
        <v>8196.4699999999993</v>
      </c>
      <c r="D2214" s="514">
        <v>8196.4599999999991</v>
      </c>
      <c r="E2214" s="514">
        <v>8196.4699999999993</v>
      </c>
      <c r="F2214" s="514">
        <v>8196.4699999999993</v>
      </c>
      <c r="G2214" s="514">
        <v>8196.4699999999993</v>
      </c>
      <c r="H2214" s="514">
        <v>8196.4599999999991</v>
      </c>
      <c r="I2214" s="514">
        <v>8196.4699999999993</v>
      </c>
      <c r="J2214" s="514">
        <v>8196.4699999999993</v>
      </c>
      <c r="K2214" s="514">
        <v>8196.4599999999991</v>
      </c>
      <c r="L2214" s="514">
        <v>8196.4699999999993</v>
      </c>
      <c r="M2214" s="514">
        <v>8196.4699999999993</v>
      </c>
      <c r="N2214" s="514">
        <v>8196.4699999999993</v>
      </c>
      <c r="O2214" s="499"/>
      <c r="P2214" s="499"/>
      <c r="Q2214" s="499"/>
    </row>
    <row r="2215" spans="1:17" ht="14.4" x14ac:dyDescent="0.3">
      <c r="A2215" s="502">
        <v>8010330</v>
      </c>
      <c r="B2215" s="503" t="s">
        <v>1758</v>
      </c>
      <c r="C2215" s="514">
        <v>149026.67000000001</v>
      </c>
      <c r="D2215" s="514">
        <v>149026.68</v>
      </c>
      <c r="E2215" s="514">
        <v>149026.68</v>
      </c>
      <c r="F2215" s="514">
        <v>149026.67000000001</v>
      </c>
      <c r="G2215" s="514">
        <v>149026.68</v>
      </c>
      <c r="H2215" s="514">
        <v>149026.67000000001</v>
      </c>
      <c r="I2215" s="514">
        <v>149026.67000000001</v>
      </c>
      <c r="J2215" s="514">
        <v>149026.68</v>
      </c>
      <c r="K2215" s="514">
        <v>149026.68</v>
      </c>
      <c r="L2215" s="514">
        <v>149026.67000000001</v>
      </c>
      <c r="M2215" s="514">
        <v>149026.68</v>
      </c>
      <c r="N2215" s="514">
        <v>149026.67000000001</v>
      </c>
      <c r="O2215" s="499"/>
      <c r="P2215" s="499"/>
      <c r="Q2215" s="499"/>
    </row>
    <row r="2216" spans="1:17" ht="14.4" x14ac:dyDescent="0.3">
      <c r="A2216" s="502">
        <v>8010340</v>
      </c>
      <c r="B2216" s="503" t="s">
        <v>3575</v>
      </c>
      <c r="C2216" s="514">
        <v>0</v>
      </c>
      <c r="D2216" s="514">
        <v>0</v>
      </c>
      <c r="E2216" s="514">
        <v>0</v>
      </c>
      <c r="F2216" s="514">
        <v>0</v>
      </c>
      <c r="G2216" s="514">
        <v>0</v>
      </c>
      <c r="H2216" s="514">
        <v>0</v>
      </c>
      <c r="I2216" s="514">
        <v>0</v>
      </c>
      <c r="J2216" s="514">
        <v>0</v>
      </c>
      <c r="K2216" s="514">
        <v>0</v>
      </c>
      <c r="L2216" s="514">
        <v>0</v>
      </c>
      <c r="M2216" s="514">
        <v>0</v>
      </c>
      <c r="N2216" s="514">
        <v>0</v>
      </c>
      <c r="O2216" s="499"/>
      <c r="P2216" s="499"/>
      <c r="Q2216" s="499"/>
    </row>
    <row r="2217" spans="1:17" ht="14.4" x14ac:dyDescent="0.3">
      <c r="A2217" s="502">
        <v>8010350</v>
      </c>
      <c r="B2217" s="503" t="s">
        <v>3576</v>
      </c>
      <c r="C2217" s="514">
        <v>0</v>
      </c>
      <c r="D2217" s="514">
        <v>0</v>
      </c>
      <c r="E2217" s="514">
        <v>0</v>
      </c>
      <c r="F2217" s="514">
        <v>0</v>
      </c>
      <c r="G2217" s="514">
        <v>0</v>
      </c>
      <c r="H2217" s="514">
        <v>0</v>
      </c>
      <c r="I2217" s="514">
        <v>0</v>
      </c>
      <c r="J2217" s="514">
        <v>0</v>
      </c>
      <c r="K2217" s="514">
        <v>0</v>
      </c>
      <c r="L2217" s="514">
        <v>0</v>
      </c>
      <c r="M2217" s="514">
        <v>0</v>
      </c>
      <c r="N2217" s="514">
        <v>0</v>
      </c>
      <c r="O2217" s="499"/>
      <c r="P2217" s="499"/>
      <c r="Q2217" s="499"/>
    </row>
    <row r="2218" spans="1:17" ht="14.4" x14ac:dyDescent="0.3">
      <c r="A2218" s="502">
        <v>8010360</v>
      </c>
      <c r="B2218" s="503" t="s">
        <v>3577</v>
      </c>
      <c r="C2218" s="514">
        <v>0</v>
      </c>
      <c r="D2218" s="514">
        <v>0</v>
      </c>
      <c r="E2218" s="514">
        <v>0</v>
      </c>
      <c r="F2218" s="514">
        <v>0</v>
      </c>
      <c r="G2218" s="514">
        <v>0</v>
      </c>
      <c r="H2218" s="514">
        <v>0</v>
      </c>
      <c r="I2218" s="514">
        <v>0</v>
      </c>
      <c r="J2218" s="514">
        <v>0</v>
      </c>
      <c r="K2218" s="514">
        <v>0</v>
      </c>
      <c r="L2218" s="514">
        <v>0</v>
      </c>
      <c r="M2218" s="514">
        <v>0</v>
      </c>
      <c r="N2218" s="514">
        <v>0</v>
      </c>
      <c r="O2218" s="499"/>
      <c r="P2218" s="499"/>
      <c r="Q2218" s="499"/>
    </row>
    <row r="2219" spans="1:17" ht="14.4" x14ac:dyDescent="0.3">
      <c r="A2219" s="502">
        <v>8010400</v>
      </c>
      <c r="B2219" s="503" t="s">
        <v>1760</v>
      </c>
      <c r="C2219" s="514">
        <v>5060089.67</v>
      </c>
      <c r="D2219" s="514">
        <v>2730831.07</v>
      </c>
      <c r="E2219" s="514">
        <v>4244412.26</v>
      </c>
      <c r="F2219" s="514">
        <v>2695099.9</v>
      </c>
      <c r="G2219" s="514">
        <v>2503060.5</v>
      </c>
      <c r="H2219" s="514">
        <v>2395166.5699999998</v>
      </c>
      <c r="I2219" s="514">
        <v>2512054.59</v>
      </c>
      <c r="J2219" s="514">
        <v>2541364.25</v>
      </c>
      <c r="K2219" s="514">
        <v>2460689.33</v>
      </c>
      <c r="L2219" s="514">
        <v>2545796.31</v>
      </c>
      <c r="M2219" s="514">
        <v>2597892.16</v>
      </c>
      <c r="N2219" s="514">
        <v>2700546.45</v>
      </c>
      <c r="O2219" s="499"/>
      <c r="P2219" s="499"/>
      <c r="Q2219" s="499"/>
    </row>
    <row r="2220" spans="1:17" ht="14.4" x14ac:dyDescent="0.3">
      <c r="A2220" s="502">
        <v>8010405</v>
      </c>
      <c r="B2220" s="503" t="s">
        <v>1762</v>
      </c>
      <c r="C2220" s="514">
        <v>0</v>
      </c>
      <c r="D2220" s="514">
        <v>0</v>
      </c>
      <c r="E2220" s="514">
        <v>0</v>
      </c>
      <c r="F2220" s="514">
        <v>0</v>
      </c>
      <c r="G2220" s="514">
        <v>0</v>
      </c>
      <c r="H2220" s="514">
        <v>0</v>
      </c>
      <c r="I2220" s="514">
        <v>0</v>
      </c>
      <c r="J2220" s="514">
        <v>0</v>
      </c>
      <c r="K2220" s="514">
        <v>0</v>
      </c>
      <c r="L2220" s="514">
        <v>0</v>
      </c>
      <c r="M2220" s="514">
        <v>0</v>
      </c>
      <c r="N2220" s="514">
        <v>0</v>
      </c>
      <c r="O2220" s="499"/>
      <c r="P2220" s="499"/>
      <c r="Q2220" s="499"/>
    </row>
    <row r="2221" spans="1:17" ht="14.4" x14ac:dyDescent="0.3">
      <c r="A2221" s="502">
        <v>8010410</v>
      </c>
      <c r="B2221" s="503" t="s">
        <v>1764</v>
      </c>
      <c r="C2221" s="514">
        <v>1048690.23</v>
      </c>
      <c r="D2221" s="514">
        <v>445281.44</v>
      </c>
      <c r="E2221" s="514">
        <v>351977.22</v>
      </c>
      <c r="F2221" s="514">
        <v>496184.98</v>
      </c>
      <c r="G2221" s="514">
        <v>520156.81</v>
      </c>
      <c r="H2221" s="514">
        <v>903661.49</v>
      </c>
      <c r="I2221" s="514">
        <v>645862.72</v>
      </c>
      <c r="J2221" s="514">
        <v>651445.80000000005</v>
      </c>
      <c r="K2221" s="514">
        <v>624688.51</v>
      </c>
      <c r="L2221" s="514">
        <v>516796.2</v>
      </c>
      <c r="M2221" s="514">
        <v>402712.79</v>
      </c>
      <c r="N2221" s="514">
        <v>662776.92000000004</v>
      </c>
      <c r="O2221" s="499"/>
      <c r="P2221" s="499"/>
      <c r="Q2221" s="499"/>
    </row>
    <row r="2222" spans="1:17" ht="14.4" x14ac:dyDescent="0.3">
      <c r="A2222" s="502">
        <v>8010415</v>
      </c>
      <c r="B2222" s="503" t="s">
        <v>1766</v>
      </c>
      <c r="C2222" s="514">
        <v>0</v>
      </c>
      <c r="D2222" s="514">
        <v>0</v>
      </c>
      <c r="E2222" s="514">
        <v>0</v>
      </c>
      <c r="F2222" s="514">
        <v>0</v>
      </c>
      <c r="G2222" s="514">
        <v>0</v>
      </c>
      <c r="H2222" s="514">
        <v>0</v>
      </c>
      <c r="I2222" s="514">
        <v>0</v>
      </c>
      <c r="J2222" s="514">
        <v>0</v>
      </c>
      <c r="K2222" s="514">
        <v>0</v>
      </c>
      <c r="L2222" s="514">
        <v>0</v>
      </c>
      <c r="M2222" s="514">
        <v>0</v>
      </c>
      <c r="N2222" s="514">
        <v>0</v>
      </c>
      <c r="O2222" s="499"/>
      <c r="P2222" s="499"/>
      <c r="Q2222" s="499"/>
    </row>
    <row r="2223" spans="1:17" ht="14.4" x14ac:dyDescent="0.3">
      <c r="A2223" s="502">
        <v>8010420</v>
      </c>
      <c r="B2223" s="503" t="s">
        <v>1768</v>
      </c>
      <c r="C2223" s="514">
        <v>0</v>
      </c>
      <c r="D2223" s="514">
        <v>0</v>
      </c>
      <c r="E2223" s="514">
        <v>0</v>
      </c>
      <c r="F2223" s="514">
        <v>0</v>
      </c>
      <c r="G2223" s="514">
        <v>0</v>
      </c>
      <c r="H2223" s="514">
        <v>0</v>
      </c>
      <c r="I2223" s="514">
        <v>0</v>
      </c>
      <c r="J2223" s="514">
        <v>0</v>
      </c>
      <c r="K2223" s="514">
        <v>0</v>
      </c>
      <c r="L2223" s="514">
        <v>0</v>
      </c>
      <c r="M2223" s="514">
        <v>0</v>
      </c>
      <c r="N2223" s="514">
        <v>0</v>
      </c>
      <c r="O2223" s="499"/>
      <c r="P2223" s="499"/>
      <c r="Q2223" s="499"/>
    </row>
    <row r="2224" spans="1:17" ht="14.4" x14ac:dyDescent="0.3">
      <c r="A2224" s="502">
        <v>8010430</v>
      </c>
      <c r="B2224" s="503" t="s">
        <v>3578</v>
      </c>
      <c r="C2224" s="514">
        <v>42504.800000000003</v>
      </c>
      <c r="D2224" s="514">
        <v>42504.79</v>
      </c>
      <c r="E2224" s="514">
        <v>42504.800000000003</v>
      </c>
      <c r="F2224" s="514">
        <v>42504.79</v>
      </c>
      <c r="G2224" s="514">
        <v>42504.800000000003</v>
      </c>
      <c r="H2224" s="514">
        <v>42504.800000000003</v>
      </c>
      <c r="I2224" s="514">
        <v>42504.79</v>
      </c>
      <c r="J2224" s="514">
        <v>42504.800000000003</v>
      </c>
      <c r="K2224" s="514">
        <v>42504.79</v>
      </c>
      <c r="L2224" s="514">
        <v>42504.800000000003</v>
      </c>
      <c r="M2224" s="514">
        <v>42504.79</v>
      </c>
      <c r="N2224" s="514">
        <v>42504.800000000003</v>
      </c>
      <c r="O2224" s="499"/>
      <c r="P2224" s="499"/>
      <c r="Q2224" s="499"/>
    </row>
    <row r="2225" spans="1:17" ht="14.4" x14ac:dyDescent="0.3">
      <c r="A2225" s="502">
        <v>8010440</v>
      </c>
      <c r="B2225" s="503" t="s">
        <v>3579</v>
      </c>
      <c r="C2225" s="514">
        <v>0</v>
      </c>
      <c r="D2225" s="514">
        <v>0</v>
      </c>
      <c r="E2225" s="514">
        <v>0</v>
      </c>
      <c r="F2225" s="514">
        <v>0</v>
      </c>
      <c r="G2225" s="514">
        <v>0</v>
      </c>
      <c r="H2225" s="514">
        <v>0</v>
      </c>
      <c r="I2225" s="514">
        <v>0</v>
      </c>
      <c r="J2225" s="514">
        <v>0</v>
      </c>
      <c r="K2225" s="514">
        <v>0</v>
      </c>
      <c r="L2225" s="514">
        <v>0</v>
      </c>
      <c r="M2225" s="514">
        <v>0</v>
      </c>
      <c r="N2225" s="514">
        <v>0</v>
      </c>
      <c r="O2225" s="499"/>
      <c r="P2225" s="499"/>
      <c r="Q2225" s="499"/>
    </row>
    <row r="2226" spans="1:17" ht="14.4" x14ac:dyDescent="0.3">
      <c r="A2226" s="502">
        <v>8010450</v>
      </c>
      <c r="B2226" s="503" t="s">
        <v>3580</v>
      </c>
      <c r="C2226" s="514">
        <v>0</v>
      </c>
      <c r="D2226" s="514">
        <v>0</v>
      </c>
      <c r="E2226" s="514">
        <v>0</v>
      </c>
      <c r="F2226" s="514">
        <v>0</v>
      </c>
      <c r="G2226" s="514">
        <v>0</v>
      </c>
      <c r="H2226" s="514">
        <v>0</v>
      </c>
      <c r="I2226" s="514">
        <v>0</v>
      </c>
      <c r="J2226" s="514">
        <v>0</v>
      </c>
      <c r="K2226" s="514">
        <v>0</v>
      </c>
      <c r="L2226" s="514">
        <v>0</v>
      </c>
      <c r="M2226" s="514">
        <v>0</v>
      </c>
      <c r="N2226" s="514">
        <v>0</v>
      </c>
      <c r="O2226" s="499"/>
      <c r="P2226" s="499"/>
      <c r="Q2226" s="499"/>
    </row>
    <row r="2227" spans="1:17" ht="14.4" x14ac:dyDescent="0.3">
      <c r="A2227" s="502">
        <v>8010500</v>
      </c>
      <c r="B2227" s="503" t="s">
        <v>3581</v>
      </c>
      <c r="C2227" s="514">
        <v>0</v>
      </c>
      <c r="D2227" s="514">
        <v>0</v>
      </c>
      <c r="E2227" s="514">
        <v>0</v>
      </c>
      <c r="F2227" s="514">
        <v>0</v>
      </c>
      <c r="G2227" s="514">
        <v>0</v>
      </c>
      <c r="H2227" s="514">
        <v>0</v>
      </c>
      <c r="I2227" s="514">
        <v>0</v>
      </c>
      <c r="J2227" s="514">
        <v>0</v>
      </c>
      <c r="K2227" s="514">
        <v>0</v>
      </c>
      <c r="L2227" s="514">
        <v>0</v>
      </c>
      <c r="M2227" s="514">
        <v>0</v>
      </c>
      <c r="N2227" s="514">
        <v>0</v>
      </c>
      <c r="O2227" s="499"/>
      <c r="P2227" s="499"/>
      <c r="Q2227" s="499"/>
    </row>
    <row r="2228" spans="1:17" ht="14.4" x14ac:dyDescent="0.3">
      <c r="A2228" s="502">
        <v>8010600</v>
      </c>
      <c r="B2228" s="503" t="s">
        <v>1772</v>
      </c>
      <c r="C2228" s="514">
        <v>711101.52</v>
      </c>
      <c r="D2228" s="514">
        <v>14486598.539999999</v>
      </c>
      <c r="E2228" s="514">
        <v>711101.52</v>
      </c>
      <c r="F2228" s="514">
        <v>24906533.48</v>
      </c>
      <c r="G2228" s="514">
        <v>711101.46</v>
      </c>
      <c r="H2228" s="514">
        <v>711101.52</v>
      </c>
      <c r="I2228" s="514">
        <v>711101.52</v>
      </c>
      <c r="J2228" s="514">
        <v>711101.46</v>
      </c>
      <c r="K2228" s="514">
        <v>711101.52</v>
      </c>
      <c r="L2228" s="514">
        <v>711101.52</v>
      </c>
      <c r="M2228" s="514">
        <v>711101.46</v>
      </c>
      <c r="N2228" s="514">
        <v>711101.52</v>
      </c>
      <c r="O2228" s="499"/>
      <c r="P2228" s="499"/>
      <c r="Q2228" s="499"/>
    </row>
    <row r="2229" spans="1:17" ht="14.4" x14ac:dyDescent="0.3">
      <c r="A2229" s="502">
        <v>8010610</v>
      </c>
      <c r="B2229" s="503" t="s">
        <v>1774</v>
      </c>
      <c r="C2229" s="514">
        <v>927.92</v>
      </c>
      <c r="D2229" s="514">
        <v>927.91</v>
      </c>
      <c r="E2229" s="514">
        <v>927.92</v>
      </c>
      <c r="F2229" s="514">
        <v>927.92</v>
      </c>
      <c r="G2229" s="514">
        <v>927.91</v>
      </c>
      <c r="H2229" s="514">
        <v>927.92</v>
      </c>
      <c r="I2229" s="514">
        <v>927.92</v>
      </c>
      <c r="J2229" s="514">
        <v>927.91</v>
      </c>
      <c r="K2229" s="514">
        <v>927.92</v>
      </c>
      <c r="L2229" s="514">
        <v>927.92</v>
      </c>
      <c r="M2229" s="514">
        <v>927.91</v>
      </c>
      <c r="N2229" s="514">
        <v>927.92</v>
      </c>
      <c r="O2229" s="499"/>
      <c r="P2229" s="499"/>
      <c r="Q2229" s="499"/>
    </row>
    <row r="2230" spans="1:17" ht="14.4" x14ac:dyDescent="0.3">
      <c r="A2230" s="502">
        <v>8019000</v>
      </c>
      <c r="B2230" s="503" t="s">
        <v>3582</v>
      </c>
      <c r="C2230" s="514">
        <v>0</v>
      </c>
      <c r="D2230" s="514">
        <v>0</v>
      </c>
      <c r="E2230" s="514">
        <v>0</v>
      </c>
      <c r="F2230" s="514">
        <v>0</v>
      </c>
      <c r="G2230" s="514">
        <v>0</v>
      </c>
      <c r="H2230" s="514">
        <v>0</v>
      </c>
      <c r="I2230" s="514">
        <v>0</v>
      </c>
      <c r="J2230" s="514">
        <v>0</v>
      </c>
      <c r="K2230" s="514">
        <v>0</v>
      </c>
      <c r="L2230" s="514">
        <v>0</v>
      </c>
      <c r="M2230" s="514">
        <v>0</v>
      </c>
      <c r="N2230" s="514">
        <v>0</v>
      </c>
      <c r="O2230" s="499"/>
      <c r="P2230" s="499"/>
      <c r="Q2230" s="499"/>
    </row>
    <row r="2231" spans="1:17" ht="14.4" x14ac:dyDescent="0.3">
      <c r="A2231" s="502">
        <v>8200100</v>
      </c>
      <c r="B2231" s="503" t="s">
        <v>3583</v>
      </c>
      <c r="C2231" s="514">
        <v>0</v>
      </c>
      <c r="D2231" s="514">
        <v>0</v>
      </c>
      <c r="E2231" s="514">
        <v>0</v>
      </c>
      <c r="F2231" s="514">
        <v>0</v>
      </c>
      <c r="G2231" s="514">
        <v>0</v>
      </c>
      <c r="H2231" s="514">
        <v>0</v>
      </c>
      <c r="I2231" s="514">
        <v>0</v>
      </c>
      <c r="J2231" s="514">
        <v>0</v>
      </c>
      <c r="K2231" s="514">
        <v>0</v>
      </c>
      <c r="L2231" s="514">
        <v>0</v>
      </c>
      <c r="M2231" s="514">
        <v>0</v>
      </c>
      <c r="N2231" s="514">
        <v>0</v>
      </c>
      <c r="O2231" s="499"/>
      <c r="P2231" s="499"/>
      <c r="Q2231" s="499"/>
    </row>
    <row r="2232" spans="1:17" ht="14.4" x14ac:dyDescent="0.3">
      <c r="A2232" s="502">
        <v>8209000</v>
      </c>
      <c r="B2232" s="503" t="s">
        <v>3584</v>
      </c>
      <c r="C2232" s="514">
        <v>0</v>
      </c>
      <c r="D2232" s="514">
        <v>0</v>
      </c>
      <c r="E2232" s="514">
        <v>0</v>
      </c>
      <c r="F2232" s="514">
        <v>0</v>
      </c>
      <c r="G2232" s="514">
        <v>0</v>
      </c>
      <c r="H2232" s="514">
        <v>0</v>
      </c>
      <c r="I2232" s="514">
        <v>0</v>
      </c>
      <c r="J2232" s="514">
        <v>0</v>
      </c>
      <c r="K2232" s="514">
        <v>0</v>
      </c>
      <c r="L2232" s="514">
        <v>0</v>
      </c>
      <c r="M2232" s="514">
        <v>0</v>
      </c>
      <c r="N2232" s="514">
        <v>0</v>
      </c>
      <c r="O2232" s="499"/>
      <c r="P2232" s="499"/>
      <c r="Q2232" s="499"/>
    </row>
    <row r="2233" spans="1:17" ht="14.4" x14ac:dyDescent="0.3">
      <c r="A2233" s="502">
        <v>8900100</v>
      </c>
      <c r="B2233" s="503" t="s">
        <v>3585</v>
      </c>
      <c r="C2233" s="514">
        <v>0</v>
      </c>
      <c r="D2233" s="514">
        <v>0</v>
      </c>
      <c r="E2233" s="514">
        <v>0</v>
      </c>
      <c r="F2233" s="514">
        <v>0</v>
      </c>
      <c r="G2233" s="514">
        <v>0</v>
      </c>
      <c r="H2233" s="514">
        <v>0</v>
      </c>
      <c r="I2233" s="514">
        <v>0</v>
      </c>
      <c r="J2233" s="514">
        <v>0</v>
      </c>
      <c r="K2233" s="514">
        <v>0</v>
      </c>
      <c r="L2233" s="514">
        <v>0</v>
      </c>
      <c r="M2233" s="514">
        <v>0</v>
      </c>
      <c r="N2233" s="514">
        <v>0</v>
      </c>
      <c r="O2233" s="499"/>
      <c r="P2233" s="499"/>
      <c r="Q2233" s="499"/>
    </row>
    <row r="2234" spans="1:17" ht="14.4" x14ac:dyDescent="0.3">
      <c r="A2234" s="502">
        <v>8900110</v>
      </c>
      <c r="B2234" s="503" t="s">
        <v>3586</v>
      </c>
      <c r="C2234" s="514">
        <v>0</v>
      </c>
      <c r="D2234" s="514">
        <v>0</v>
      </c>
      <c r="E2234" s="514">
        <v>0</v>
      </c>
      <c r="F2234" s="514">
        <v>0</v>
      </c>
      <c r="G2234" s="514">
        <v>0</v>
      </c>
      <c r="H2234" s="514">
        <v>0</v>
      </c>
      <c r="I2234" s="514">
        <v>0</v>
      </c>
      <c r="J2234" s="514">
        <v>0</v>
      </c>
      <c r="K2234" s="514">
        <v>0</v>
      </c>
      <c r="L2234" s="514">
        <v>0</v>
      </c>
      <c r="M2234" s="514">
        <v>0</v>
      </c>
      <c r="N2234" s="514">
        <v>0</v>
      </c>
      <c r="O2234" s="499"/>
      <c r="P2234" s="499"/>
      <c r="Q2234" s="499"/>
    </row>
    <row r="2235" spans="1:17" ht="14.4" x14ac:dyDescent="0.3">
      <c r="A2235" s="502">
        <v>8900120</v>
      </c>
      <c r="B2235" s="503" t="s">
        <v>3587</v>
      </c>
      <c r="C2235" s="514">
        <v>0</v>
      </c>
      <c r="D2235" s="514">
        <v>0</v>
      </c>
      <c r="E2235" s="514">
        <v>0</v>
      </c>
      <c r="F2235" s="514">
        <v>0</v>
      </c>
      <c r="G2235" s="514">
        <v>0</v>
      </c>
      <c r="H2235" s="514">
        <v>0</v>
      </c>
      <c r="I2235" s="514">
        <v>0</v>
      </c>
      <c r="J2235" s="514">
        <v>0</v>
      </c>
      <c r="K2235" s="514">
        <v>0</v>
      </c>
      <c r="L2235" s="514">
        <v>0</v>
      </c>
      <c r="M2235" s="514">
        <v>0</v>
      </c>
      <c r="N2235" s="514">
        <v>0</v>
      </c>
      <c r="O2235" s="499"/>
      <c r="P2235" s="499"/>
      <c r="Q2235" s="499"/>
    </row>
    <row r="2236" spans="1:17" ht="14.4" x14ac:dyDescent="0.3">
      <c r="A2236" s="502">
        <v>8900130</v>
      </c>
      <c r="B2236" s="503" t="s">
        <v>3588</v>
      </c>
      <c r="C2236" s="514">
        <v>0</v>
      </c>
      <c r="D2236" s="514">
        <v>0</v>
      </c>
      <c r="E2236" s="514">
        <v>0</v>
      </c>
      <c r="F2236" s="514">
        <v>0</v>
      </c>
      <c r="G2236" s="514">
        <v>0</v>
      </c>
      <c r="H2236" s="514">
        <v>0</v>
      </c>
      <c r="I2236" s="514">
        <v>0</v>
      </c>
      <c r="J2236" s="514">
        <v>0</v>
      </c>
      <c r="K2236" s="514">
        <v>0</v>
      </c>
      <c r="L2236" s="514">
        <v>0</v>
      </c>
      <c r="M2236" s="514">
        <v>0</v>
      </c>
      <c r="N2236" s="514">
        <v>0</v>
      </c>
      <c r="O2236" s="499"/>
      <c r="P2236" s="499"/>
      <c r="Q2236" s="499"/>
    </row>
    <row r="2237" spans="1:17" ht="14.4" x14ac:dyDescent="0.3">
      <c r="A2237" s="502">
        <v>8900140</v>
      </c>
      <c r="B2237" s="503" t="s">
        <v>1344</v>
      </c>
      <c r="C2237" s="514">
        <v>0</v>
      </c>
      <c r="D2237" s="514">
        <v>0</v>
      </c>
      <c r="E2237" s="514">
        <v>0</v>
      </c>
      <c r="F2237" s="514">
        <v>0</v>
      </c>
      <c r="G2237" s="514">
        <v>0</v>
      </c>
      <c r="H2237" s="514">
        <v>0</v>
      </c>
      <c r="I2237" s="514">
        <v>0</v>
      </c>
      <c r="J2237" s="514">
        <v>0</v>
      </c>
      <c r="K2237" s="514">
        <v>0</v>
      </c>
      <c r="L2237" s="514">
        <v>0</v>
      </c>
      <c r="M2237" s="514">
        <v>0</v>
      </c>
      <c r="N2237" s="514">
        <v>0</v>
      </c>
      <c r="O2237" s="499"/>
      <c r="P2237" s="499"/>
      <c r="Q2237" s="499"/>
    </row>
    <row r="2238" spans="1:17" ht="14.4" x14ac:dyDescent="0.3">
      <c r="A2238" s="502">
        <v>8900141</v>
      </c>
      <c r="B2238" s="503" t="s">
        <v>1346</v>
      </c>
      <c r="C2238" s="514">
        <v>0</v>
      </c>
      <c r="D2238" s="514">
        <v>0</v>
      </c>
      <c r="E2238" s="514">
        <v>0</v>
      </c>
      <c r="F2238" s="514">
        <v>0</v>
      </c>
      <c r="G2238" s="514">
        <v>0</v>
      </c>
      <c r="H2238" s="514">
        <v>0</v>
      </c>
      <c r="I2238" s="514">
        <v>0</v>
      </c>
      <c r="J2238" s="514">
        <v>0</v>
      </c>
      <c r="K2238" s="514">
        <v>0</v>
      </c>
      <c r="L2238" s="514">
        <v>0</v>
      </c>
      <c r="M2238" s="514">
        <v>0</v>
      </c>
      <c r="N2238" s="514">
        <v>0</v>
      </c>
      <c r="O2238" s="499"/>
      <c r="P2238" s="499"/>
      <c r="Q2238" s="499"/>
    </row>
    <row r="2239" spans="1:17" ht="14.4" x14ac:dyDescent="0.3">
      <c r="A2239" s="502">
        <v>8900142</v>
      </c>
      <c r="B2239" s="503" t="s">
        <v>3589</v>
      </c>
      <c r="C2239" s="514">
        <v>0</v>
      </c>
      <c r="D2239" s="514">
        <v>0</v>
      </c>
      <c r="E2239" s="514">
        <v>0</v>
      </c>
      <c r="F2239" s="514">
        <v>0</v>
      </c>
      <c r="G2239" s="514">
        <v>0</v>
      </c>
      <c r="H2239" s="514">
        <v>0</v>
      </c>
      <c r="I2239" s="514">
        <v>0</v>
      </c>
      <c r="J2239" s="514">
        <v>0</v>
      </c>
      <c r="K2239" s="514">
        <v>0</v>
      </c>
      <c r="L2239" s="514">
        <v>0</v>
      </c>
      <c r="M2239" s="514">
        <v>0</v>
      </c>
      <c r="N2239" s="514">
        <v>0</v>
      </c>
      <c r="O2239" s="499"/>
      <c r="P2239" s="499"/>
      <c r="Q2239" s="499"/>
    </row>
    <row r="2240" spans="1:17" ht="14.4" x14ac:dyDescent="0.3">
      <c r="A2240" s="502">
        <v>8900150</v>
      </c>
      <c r="B2240" s="503" t="s">
        <v>3590</v>
      </c>
      <c r="C2240" s="514">
        <v>0</v>
      </c>
      <c r="D2240" s="514">
        <v>0</v>
      </c>
      <c r="E2240" s="514">
        <v>0</v>
      </c>
      <c r="F2240" s="514">
        <v>0</v>
      </c>
      <c r="G2240" s="514">
        <v>0</v>
      </c>
      <c r="H2240" s="514">
        <v>0</v>
      </c>
      <c r="I2240" s="514">
        <v>0</v>
      </c>
      <c r="J2240" s="514">
        <v>0</v>
      </c>
      <c r="K2240" s="514">
        <v>0</v>
      </c>
      <c r="L2240" s="514">
        <v>0</v>
      </c>
      <c r="M2240" s="514">
        <v>0</v>
      </c>
      <c r="N2240" s="514">
        <v>0</v>
      </c>
      <c r="O2240" s="499"/>
      <c r="P2240" s="499"/>
      <c r="Q2240" s="499"/>
    </row>
    <row r="2241" spans="1:17" ht="14.4" x14ac:dyDescent="0.3">
      <c r="A2241" s="502">
        <v>8900160</v>
      </c>
      <c r="B2241" s="503" t="s">
        <v>3591</v>
      </c>
      <c r="C2241" s="514">
        <v>0</v>
      </c>
      <c r="D2241" s="514">
        <v>0</v>
      </c>
      <c r="E2241" s="514">
        <v>0</v>
      </c>
      <c r="F2241" s="514">
        <v>0</v>
      </c>
      <c r="G2241" s="514">
        <v>0</v>
      </c>
      <c r="H2241" s="514">
        <v>0</v>
      </c>
      <c r="I2241" s="514">
        <v>0</v>
      </c>
      <c r="J2241" s="514">
        <v>0</v>
      </c>
      <c r="K2241" s="514">
        <v>0</v>
      </c>
      <c r="L2241" s="514">
        <v>0</v>
      </c>
      <c r="M2241" s="514">
        <v>0</v>
      </c>
      <c r="N2241" s="514">
        <v>0</v>
      </c>
      <c r="O2241" s="499"/>
      <c r="P2241" s="499"/>
      <c r="Q2241" s="499"/>
    </row>
    <row r="2242" spans="1:17" ht="14.4" x14ac:dyDescent="0.3">
      <c r="A2242" s="502">
        <v>8900170</v>
      </c>
      <c r="B2242" s="503" t="s">
        <v>1562</v>
      </c>
      <c r="C2242" s="514">
        <v>0</v>
      </c>
      <c r="D2242" s="514">
        <v>0</v>
      </c>
      <c r="E2242" s="514">
        <v>0</v>
      </c>
      <c r="F2242" s="514">
        <v>0</v>
      </c>
      <c r="G2242" s="514">
        <v>0</v>
      </c>
      <c r="H2242" s="514">
        <v>0</v>
      </c>
      <c r="I2242" s="514">
        <v>0</v>
      </c>
      <c r="J2242" s="514">
        <v>0</v>
      </c>
      <c r="K2242" s="514">
        <v>0</v>
      </c>
      <c r="L2242" s="514">
        <v>0</v>
      </c>
      <c r="M2242" s="514">
        <v>0</v>
      </c>
      <c r="N2242" s="514">
        <v>0</v>
      </c>
      <c r="O2242" s="499"/>
      <c r="P2242" s="499"/>
      <c r="Q2242" s="499"/>
    </row>
    <row r="2243" spans="1:17" ht="14.4" x14ac:dyDescent="0.3">
      <c r="A2243" s="502">
        <v>8900180</v>
      </c>
      <c r="B2243" s="503" t="s">
        <v>1626</v>
      </c>
      <c r="C2243" s="514">
        <v>0</v>
      </c>
      <c r="D2243" s="514">
        <v>0</v>
      </c>
      <c r="E2243" s="514">
        <v>0</v>
      </c>
      <c r="F2243" s="514">
        <v>0</v>
      </c>
      <c r="G2243" s="514">
        <v>0</v>
      </c>
      <c r="H2243" s="514">
        <v>0</v>
      </c>
      <c r="I2243" s="514">
        <v>0</v>
      </c>
      <c r="J2243" s="514">
        <v>0</v>
      </c>
      <c r="K2243" s="514">
        <v>0</v>
      </c>
      <c r="L2243" s="514">
        <v>0</v>
      </c>
      <c r="M2243" s="514">
        <v>0</v>
      </c>
      <c r="N2243" s="514">
        <v>0</v>
      </c>
      <c r="O2243" s="499"/>
      <c r="P2243" s="499"/>
      <c r="Q2243" s="499"/>
    </row>
    <row r="2244" spans="1:17" ht="14.4" x14ac:dyDescent="0.3">
      <c r="A2244" s="502">
        <v>8900190</v>
      </c>
      <c r="B2244" s="503" t="s">
        <v>3592</v>
      </c>
      <c r="C2244" s="514">
        <v>0</v>
      </c>
      <c r="D2244" s="514">
        <v>0</v>
      </c>
      <c r="E2244" s="514">
        <v>0</v>
      </c>
      <c r="F2244" s="514">
        <v>0</v>
      </c>
      <c r="G2244" s="514">
        <v>0</v>
      </c>
      <c r="H2244" s="514">
        <v>0</v>
      </c>
      <c r="I2244" s="514">
        <v>0</v>
      </c>
      <c r="J2244" s="514">
        <v>0</v>
      </c>
      <c r="K2244" s="514">
        <v>0</v>
      </c>
      <c r="L2244" s="514">
        <v>0</v>
      </c>
      <c r="M2244" s="514">
        <v>0</v>
      </c>
      <c r="N2244" s="514">
        <v>0</v>
      </c>
      <c r="O2244" s="499"/>
      <c r="P2244" s="499"/>
      <c r="Q2244" s="499"/>
    </row>
    <row r="2245" spans="1:17" ht="14.4" x14ac:dyDescent="0.3">
      <c r="A2245" s="502">
        <v>8900200</v>
      </c>
      <c r="B2245" s="503" t="s">
        <v>3593</v>
      </c>
      <c r="C2245" s="514">
        <v>0</v>
      </c>
      <c r="D2245" s="514">
        <v>0</v>
      </c>
      <c r="E2245" s="514">
        <v>0</v>
      </c>
      <c r="F2245" s="514">
        <v>0</v>
      </c>
      <c r="G2245" s="514">
        <v>0</v>
      </c>
      <c r="H2245" s="514">
        <v>0</v>
      </c>
      <c r="I2245" s="514">
        <v>0</v>
      </c>
      <c r="J2245" s="514">
        <v>0</v>
      </c>
      <c r="K2245" s="514">
        <v>0</v>
      </c>
      <c r="L2245" s="514">
        <v>0</v>
      </c>
      <c r="M2245" s="514">
        <v>0</v>
      </c>
      <c r="N2245" s="514">
        <v>0</v>
      </c>
      <c r="O2245" s="499"/>
      <c r="P2245" s="499"/>
      <c r="Q2245" s="499"/>
    </row>
    <row r="2246" spans="1:17" ht="14.4" x14ac:dyDescent="0.3">
      <c r="A2246" s="502">
        <v>8903000</v>
      </c>
      <c r="B2246" s="503" t="s">
        <v>3594</v>
      </c>
      <c r="C2246" s="514">
        <v>0</v>
      </c>
      <c r="D2246" s="514">
        <v>0</v>
      </c>
      <c r="E2246" s="514">
        <v>0</v>
      </c>
      <c r="F2246" s="514">
        <v>0</v>
      </c>
      <c r="G2246" s="514">
        <v>0</v>
      </c>
      <c r="H2246" s="514">
        <v>0</v>
      </c>
      <c r="I2246" s="514">
        <v>0</v>
      </c>
      <c r="J2246" s="514">
        <v>0</v>
      </c>
      <c r="K2246" s="514">
        <v>0</v>
      </c>
      <c r="L2246" s="514">
        <v>0</v>
      </c>
      <c r="M2246" s="514">
        <v>0</v>
      </c>
      <c r="N2246" s="514">
        <v>0</v>
      </c>
      <c r="O2246" s="499"/>
      <c r="P2246" s="499"/>
      <c r="Q2246" s="499"/>
    </row>
    <row r="2247" spans="1:17" ht="14.4" x14ac:dyDescent="0.3">
      <c r="A2247" s="502">
        <v>8903001</v>
      </c>
      <c r="B2247" s="503" t="s">
        <v>1348</v>
      </c>
      <c r="C2247" s="514">
        <v>0</v>
      </c>
      <c r="D2247" s="514">
        <v>0</v>
      </c>
      <c r="E2247" s="514">
        <v>0</v>
      </c>
      <c r="F2247" s="514">
        <v>0</v>
      </c>
      <c r="G2247" s="514">
        <v>0</v>
      </c>
      <c r="H2247" s="514">
        <v>0</v>
      </c>
      <c r="I2247" s="514">
        <v>0</v>
      </c>
      <c r="J2247" s="514">
        <v>0</v>
      </c>
      <c r="K2247" s="514">
        <v>0</v>
      </c>
      <c r="L2247" s="514">
        <v>0</v>
      </c>
      <c r="M2247" s="514">
        <v>0</v>
      </c>
      <c r="N2247" s="514">
        <v>0</v>
      </c>
      <c r="O2247" s="499"/>
      <c r="P2247" s="499"/>
      <c r="Q2247" s="499"/>
    </row>
    <row r="2248" spans="1:17" ht="14.4" x14ac:dyDescent="0.3">
      <c r="A2248" s="502">
        <v>8903002</v>
      </c>
      <c r="B2248" s="503" t="s">
        <v>1350</v>
      </c>
      <c r="C2248" s="514">
        <v>0</v>
      </c>
      <c r="D2248" s="514">
        <v>0</v>
      </c>
      <c r="E2248" s="514">
        <v>0</v>
      </c>
      <c r="F2248" s="514">
        <v>0</v>
      </c>
      <c r="G2248" s="514">
        <v>0</v>
      </c>
      <c r="H2248" s="514">
        <v>0</v>
      </c>
      <c r="I2248" s="514">
        <v>0</v>
      </c>
      <c r="J2248" s="514">
        <v>0</v>
      </c>
      <c r="K2248" s="514">
        <v>0</v>
      </c>
      <c r="L2248" s="514">
        <v>0</v>
      </c>
      <c r="M2248" s="514">
        <v>0</v>
      </c>
      <c r="N2248" s="514">
        <v>0</v>
      </c>
      <c r="O2248" s="499"/>
      <c r="P2248" s="499"/>
      <c r="Q2248" s="499"/>
    </row>
    <row r="2249" spans="1:17" ht="14.4" x14ac:dyDescent="0.3">
      <c r="A2249" s="502">
        <v>8903003</v>
      </c>
      <c r="B2249" s="503" t="s">
        <v>1352</v>
      </c>
      <c r="C2249" s="514">
        <v>0</v>
      </c>
      <c r="D2249" s="514">
        <v>0</v>
      </c>
      <c r="E2249" s="514">
        <v>0</v>
      </c>
      <c r="F2249" s="514">
        <v>0</v>
      </c>
      <c r="G2249" s="514">
        <v>0</v>
      </c>
      <c r="H2249" s="514">
        <v>0</v>
      </c>
      <c r="I2249" s="514">
        <v>0</v>
      </c>
      <c r="J2249" s="514">
        <v>0</v>
      </c>
      <c r="K2249" s="514">
        <v>0</v>
      </c>
      <c r="L2249" s="514">
        <v>0</v>
      </c>
      <c r="M2249" s="514">
        <v>0</v>
      </c>
      <c r="N2249" s="514">
        <v>0</v>
      </c>
      <c r="O2249" s="499"/>
      <c r="P2249" s="499"/>
      <c r="Q2249" s="499"/>
    </row>
    <row r="2250" spans="1:17" ht="14.4" x14ac:dyDescent="0.3">
      <c r="A2250" s="502">
        <v>8903004</v>
      </c>
      <c r="B2250" s="503" t="s">
        <v>1354</v>
      </c>
      <c r="C2250" s="514">
        <v>0</v>
      </c>
      <c r="D2250" s="514">
        <v>0</v>
      </c>
      <c r="E2250" s="514">
        <v>0</v>
      </c>
      <c r="F2250" s="514">
        <v>0</v>
      </c>
      <c r="G2250" s="514">
        <v>0</v>
      </c>
      <c r="H2250" s="514">
        <v>0</v>
      </c>
      <c r="I2250" s="514">
        <v>0</v>
      </c>
      <c r="J2250" s="514">
        <v>0</v>
      </c>
      <c r="K2250" s="514">
        <v>0</v>
      </c>
      <c r="L2250" s="514">
        <v>0</v>
      </c>
      <c r="M2250" s="514">
        <v>0</v>
      </c>
      <c r="N2250" s="514">
        <v>0</v>
      </c>
      <c r="O2250" s="499"/>
      <c r="P2250" s="499"/>
      <c r="Q2250" s="499"/>
    </row>
    <row r="2251" spans="1:17" ht="14.4" x14ac:dyDescent="0.3">
      <c r="A2251" s="502">
        <v>8903005</v>
      </c>
      <c r="B2251" s="503" t="s">
        <v>1356</v>
      </c>
      <c r="C2251" s="514">
        <v>0</v>
      </c>
      <c r="D2251" s="514">
        <v>0</v>
      </c>
      <c r="E2251" s="514">
        <v>0</v>
      </c>
      <c r="F2251" s="514">
        <v>0</v>
      </c>
      <c r="G2251" s="514">
        <v>0</v>
      </c>
      <c r="H2251" s="514">
        <v>0</v>
      </c>
      <c r="I2251" s="514">
        <v>0</v>
      </c>
      <c r="J2251" s="514">
        <v>0</v>
      </c>
      <c r="K2251" s="514">
        <v>0</v>
      </c>
      <c r="L2251" s="514">
        <v>0</v>
      </c>
      <c r="M2251" s="514">
        <v>0</v>
      </c>
      <c r="N2251" s="514">
        <v>0</v>
      </c>
      <c r="O2251" s="499"/>
      <c r="P2251" s="499"/>
      <c r="Q2251" s="499"/>
    </row>
    <row r="2252" spans="1:17" ht="14.4" x14ac:dyDescent="0.3">
      <c r="A2252" s="502">
        <v>8903006</v>
      </c>
      <c r="B2252" s="503" t="s">
        <v>1358</v>
      </c>
      <c r="C2252" s="514">
        <v>0</v>
      </c>
      <c r="D2252" s="514">
        <v>0</v>
      </c>
      <c r="E2252" s="514">
        <v>0</v>
      </c>
      <c r="F2252" s="514">
        <v>0</v>
      </c>
      <c r="G2252" s="514">
        <v>0</v>
      </c>
      <c r="H2252" s="514">
        <v>0</v>
      </c>
      <c r="I2252" s="514">
        <v>0</v>
      </c>
      <c r="J2252" s="514">
        <v>0</v>
      </c>
      <c r="K2252" s="514">
        <v>0</v>
      </c>
      <c r="L2252" s="514">
        <v>0</v>
      </c>
      <c r="M2252" s="514">
        <v>0</v>
      </c>
      <c r="N2252" s="514">
        <v>0</v>
      </c>
      <c r="O2252" s="499"/>
      <c r="P2252" s="499"/>
      <c r="Q2252" s="499"/>
    </row>
    <row r="2253" spans="1:17" ht="14.4" x14ac:dyDescent="0.3">
      <c r="A2253" s="502">
        <v>8903007</v>
      </c>
      <c r="B2253" s="503" t="s">
        <v>1360</v>
      </c>
      <c r="C2253" s="514">
        <v>0</v>
      </c>
      <c r="D2253" s="514">
        <v>0</v>
      </c>
      <c r="E2253" s="514">
        <v>0</v>
      </c>
      <c r="F2253" s="514">
        <v>0</v>
      </c>
      <c r="G2253" s="514">
        <v>0</v>
      </c>
      <c r="H2253" s="514">
        <v>0</v>
      </c>
      <c r="I2253" s="514">
        <v>0</v>
      </c>
      <c r="J2253" s="514">
        <v>0</v>
      </c>
      <c r="K2253" s="514">
        <v>0</v>
      </c>
      <c r="L2253" s="514">
        <v>0</v>
      </c>
      <c r="M2253" s="514">
        <v>0</v>
      </c>
      <c r="N2253" s="514">
        <v>0</v>
      </c>
      <c r="O2253" s="499"/>
      <c r="P2253" s="499"/>
      <c r="Q2253" s="499"/>
    </row>
    <row r="2254" spans="1:17" ht="14.4" x14ac:dyDescent="0.3">
      <c r="A2254" s="502">
        <v>8903008</v>
      </c>
      <c r="B2254" s="503" t="s">
        <v>1424</v>
      </c>
      <c r="C2254" s="514">
        <v>0</v>
      </c>
      <c r="D2254" s="514">
        <v>0</v>
      </c>
      <c r="E2254" s="514">
        <v>0</v>
      </c>
      <c r="F2254" s="514">
        <v>0</v>
      </c>
      <c r="G2254" s="514">
        <v>0</v>
      </c>
      <c r="H2254" s="514">
        <v>0</v>
      </c>
      <c r="I2254" s="514">
        <v>0</v>
      </c>
      <c r="J2254" s="514">
        <v>0</v>
      </c>
      <c r="K2254" s="514">
        <v>0</v>
      </c>
      <c r="L2254" s="514">
        <v>0</v>
      </c>
      <c r="M2254" s="514">
        <v>0</v>
      </c>
      <c r="N2254" s="514">
        <v>0</v>
      </c>
      <c r="O2254" s="499"/>
      <c r="P2254" s="499"/>
      <c r="Q2254" s="499"/>
    </row>
    <row r="2255" spans="1:17" ht="14.4" x14ac:dyDescent="0.3">
      <c r="A2255" s="502">
        <v>8903009</v>
      </c>
      <c r="B2255" s="503" t="s">
        <v>1426</v>
      </c>
      <c r="C2255" s="514">
        <v>0</v>
      </c>
      <c r="D2255" s="514">
        <v>0</v>
      </c>
      <c r="E2255" s="514">
        <v>0</v>
      </c>
      <c r="F2255" s="514">
        <v>0</v>
      </c>
      <c r="G2255" s="514">
        <v>0</v>
      </c>
      <c r="H2255" s="514">
        <v>0</v>
      </c>
      <c r="I2255" s="514">
        <v>0</v>
      </c>
      <c r="J2255" s="514">
        <v>0</v>
      </c>
      <c r="K2255" s="514">
        <v>0</v>
      </c>
      <c r="L2255" s="514">
        <v>0</v>
      </c>
      <c r="M2255" s="514">
        <v>0</v>
      </c>
      <c r="N2255" s="514">
        <v>0</v>
      </c>
      <c r="O2255" s="499"/>
      <c r="P2255" s="499"/>
      <c r="Q2255" s="499"/>
    </row>
    <row r="2256" spans="1:17" ht="14.4" x14ac:dyDescent="0.3">
      <c r="A2256" s="502">
        <v>8903010</v>
      </c>
      <c r="B2256" s="503" t="s">
        <v>3595</v>
      </c>
      <c r="C2256" s="514">
        <v>0</v>
      </c>
      <c r="D2256" s="514">
        <v>0</v>
      </c>
      <c r="E2256" s="514">
        <v>0</v>
      </c>
      <c r="F2256" s="514">
        <v>0</v>
      </c>
      <c r="G2256" s="514">
        <v>0</v>
      </c>
      <c r="H2256" s="514">
        <v>0</v>
      </c>
      <c r="I2256" s="514">
        <v>0</v>
      </c>
      <c r="J2256" s="514">
        <v>0</v>
      </c>
      <c r="K2256" s="514">
        <v>0</v>
      </c>
      <c r="L2256" s="514">
        <v>0</v>
      </c>
      <c r="M2256" s="514">
        <v>0</v>
      </c>
      <c r="N2256" s="514">
        <v>0</v>
      </c>
      <c r="O2256" s="499"/>
      <c r="P2256" s="499"/>
      <c r="Q2256" s="499"/>
    </row>
    <row r="2257" spans="1:17" ht="14.4" x14ac:dyDescent="0.3">
      <c r="A2257" s="502">
        <v>8903011</v>
      </c>
      <c r="B2257" s="503" t="s">
        <v>1428</v>
      </c>
      <c r="C2257" s="514">
        <v>0</v>
      </c>
      <c r="D2257" s="514">
        <v>0</v>
      </c>
      <c r="E2257" s="514">
        <v>0</v>
      </c>
      <c r="F2257" s="514">
        <v>0</v>
      </c>
      <c r="G2257" s="514">
        <v>0</v>
      </c>
      <c r="H2257" s="514">
        <v>0</v>
      </c>
      <c r="I2257" s="514">
        <v>0</v>
      </c>
      <c r="J2257" s="514">
        <v>0</v>
      </c>
      <c r="K2257" s="514">
        <v>0</v>
      </c>
      <c r="L2257" s="514">
        <v>0</v>
      </c>
      <c r="M2257" s="514">
        <v>0</v>
      </c>
      <c r="N2257" s="514">
        <v>0</v>
      </c>
      <c r="O2257" s="499"/>
      <c r="P2257" s="499"/>
      <c r="Q2257" s="499"/>
    </row>
    <row r="2258" spans="1:17" ht="14.4" x14ac:dyDescent="0.3">
      <c r="A2258" s="502">
        <v>8903012</v>
      </c>
      <c r="B2258" s="503" t="s">
        <v>1430</v>
      </c>
      <c r="C2258" s="514">
        <v>0</v>
      </c>
      <c r="D2258" s="514">
        <v>0</v>
      </c>
      <c r="E2258" s="514">
        <v>0</v>
      </c>
      <c r="F2258" s="514">
        <v>0</v>
      </c>
      <c r="G2258" s="514">
        <v>0</v>
      </c>
      <c r="H2258" s="514">
        <v>0</v>
      </c>
      <c r="I2258" s="514">
        <v>0</v>
      </c>
      <c r="J2258" s="514">
        <v>0</v>
      </c>
      <c r="K2258" s="514">
        <v>0</v>
      </c>
      <c r="L2258" s="514">
        <v>0</v>
      </c>
      <c r="M2258" s="514">
        <v>0</v>
      </c>
      <c r="N2258" s="514">
        <v>0</v>
      </c>
      <c r="O2258" s="499"/>
      <c r="P2258" s="499"/>
      <c r="Q2258" s="499"/>
    </row>
    <row r="2259" spans="1:17" ht="14.4" x14ac:dyDescent="0.3">
      <c r="A2259" s="502">
        <v>8903013</v>
      </c>
      <c r="B2259" s="503" t="s">
        <v>3596</v>
      </c>
      <c r="C2259" s="514">
        <v>0</v>
      </c>
      <c r="D2259" s="514">
        <v>0</v>
      </c>
      <c r="E2259" s="514">
        <v>0</v>
      </c>
      <c r="F2259" s="514">
        <v>0</v>
      </c>
      <c r="G2259" s="514">
        <v>0</v>
      </c>
      <c r="H2259" s="514">
        <v>0</v>
      </c>
      <c r="I2259" s="514">
        <v>0</v>
      </c>
      <c r="J2259" s="514">
        <v>0</v>
      </c>
      <c r="K2259" s="514">
        <v>0</v>
      </c>
      <c r="L2259" s="514">
        <v>0</v>
      </c>
      <c r="M2259" s="514">
        <v>0</v>
      </c>
      <c r="N2259" s="514">
        <v>0</v>
      </c>
      <c r="O2259" s="499"/>
      <c r="P2259" s="499"/>
      <c r="Q2259" s="499"/>
    </row>
    <row r="2260" spans="1:17" ht="14.4" x14ac:dyDescent="0.3">
      <c r="A2260" s="502">
        <v>8903014</v>
      </c>
      <c r="B2260" s="503" t="s">
        <v>3597</v>
      </c>
      <c r="C2260" s="514">
        <v>0</v>
      </c>
      <c r="D2260" s="514">
        <v>0</v>
      </c>
      <c r="E2260" s="514">
        <v>0</v>
      </c>
      <c r="F2260" s="514">
        <v>0</v>
      </c>
      <c r="G2260" s="514">
        <v>0</v>
      </c>
      <c r="H2260" s="514">
        <v>0</v>
      </c>
      <c r="I2260" s="514">
        <v>0</v>
      </c>
      <c r="J2260" s="514">
        <v>0</v>
      </c>
      <c r="K2260" s="514">
        <v>0</v>
      </c>
      <c r="L2260" s="514">
        <v>0</v>
      </c>
      <c r="M2260" s="514">
        <v>0</v>
      </c>
      <c r="N2260" s="514">
        <v>0</v>
      </c>
      <c r="O2260" s="499"/>
      <c r="P2260" s="499"/>
      <c r="Q2260" s="499"/>
    </row>
    <row r="2261" spans="1:17" ht="14.4" x14ac:dyDescent="0.3">
      <c r="A2261" s="502">
        <v>8903100</v>
      </c>
      <c r="B2261" s="503" t="s">
        <v>3598</v>
      </c>
      <c r="C2261" s="514">
        <v>0</v>
      </c>
      <c r="D2261" s="514">
        <v>0</v>
      </c>
      <c r="E2261" s="514">
        <v>0</v>
      </c>
      <c r="F2261" s="514">
        <v>0</v>
      </c>
      <c r="G2261" s="514">
        <v>0</v>
      </c>
      <c r="H2261" s="514">
        <v>0</v>
      </c>
      <c r="I2261" s="514">
        <v>0</v>
      </c>
      <c r="J2261" s="514">
        <v>0</v>
      </c>
      <c r="K2261" s="514">
        <v>0</v>
      </c>
      <c r="L2261" s="514">
        <v>0</v>
      </c>
      <c r="M2261" s="514">
        <v>0</v>
      </c>
      <c r="N2261" s="514">
        <v>0</v>
      </c>
      <c r="O2261" s="499"/>
      <c r="P2261" s="499"/>
      <c r="Q2261" s="499"/>
    </row>
    <row r="2262" spans="1:17" ht="14.4" x14ac:dyDescent="0.3">
      <c r="A2262" s="502">
        <v>8999998</v>
      </c>
      <c r="B2262" s="503" t="s">
        <v>3599</v>
      </c>
      <c r="C2262" s="514">
        <v>0</v>
      </c>
      <c r="D2262" s="514">
        <v>0</v>
      </c>
      <c r="E2262" s="514">
        <v>0</v>
      </c>
      <c r="F2262" s="514">
        <v>0</v>
      </c>
      <c r="G2262" s="514">
        <v>0</v>
      </c>
      <c r="H2262" s="514">
        <v>0</v>
      </c>
      <c r="I2262" s="514">
        <v>0</v>
      </c>
      <c r="J2262" s="514">
        <v>0</v>
      </c>
      <c r="K2262" s="514">
        <v>0</v>
      </c>
      <c r="L2262" s="514">
        <v>0</v>
      </c>
      <c r="M2262" s="514">
        <v>0</v>
      </c>
      <c r="N2262" s="514">
        <v>0</v>
      </c>
      <c r="O2262" s="499"/>
      <c r="P2262" s="499"/>
      <c r="Q2262" s="499"/>
    </row>
    <row r="2263" spans="1:17" ht="14.4" x14ac:dyDescent="0.3">
      <c r="A2263" s="502">
        <v>8999999</v>
      </c>
      <c r="B2263" s="503" t="s">
        <v>3600</v>
      </c>
      <c r="C2263" s="515">
        <v>31229111.359999999</v>
      </c>
      <c r="D2263" s="515">
        <v>27242093.280000001</v>
      </c>
      <c r="E2263" s="515">
        <v>23145888.559999999</v>
      </c>
      <c r="F2263" s="515">
        <v>30793929.199999999</v>
      </c>
      <c r="G2263" s="515">
        <v>44014547.479999997</v>
      </c>
      <c r="H2263" s="515">
        <v>48005804.049999997</v>
      </c>
      <c r="I2263" s="515">
        <v>55268574.579999998</v>
      </c>
      <c r="J2263" s="515">
        <v>56453186.380000003</v>
      </c>
      <c r="K2263" s="515">
        <v>50401330.399999999</v>
      </c>
      <c r="L2263" s="515">
        <v>35045115.240000002</v>
      </c>
      <c r="M2263" s="515">
        <v>19253680.41</v>
      </c>
      <c r="N2263" s="515">
        <v>14522192.470000001</v>
      </c>
      <c r="O2263" s="499"/>
      <c r="P2263" s="499"/>
      <c r="Q2263" s="499"/>
    </row>
    <row r="2264" spans="1:17" ht="14.4" x14ac:dyDescent="0.3">
      <c r="A2264" s="502" t="s">
        <v>3601</v>
      </c>
      <c r="B2264" s="503" t="s">
        <v>3602</v>
      </c>
      <c r="C2264" s="514">
        <v>0</v>
      </c>
      <c r="D2264" s="514">
        <v>0</v>
      </c>
      <c r="E2264" s="514">
        <v>0</v>
      </c>
      <c r="F2264" s="514">
        <v>0</v>
      </c>
      <c r="G2264" s="514">
        <v>0</v>
      </c>
      <c r="H2264" s="514">
        <v>0</v>
      </c>
      <c r="I2264" s="514">
        <v>0</v>
      </c>
      <c r="J2264" s="514">
        <v>0</v>
      </c>
      <c r="K2264" s="514">
        <v>0</v>
      </c>
      <c r="L2264" s="514">
        <v>0</v>
      </c>
      <c r="M2264" s="514">
        <v>0</v>
      </c>
      <c r="N2264" s="514">
        <v>0</v>
      </c>
      <c r="O2264" s="499"/>
      <c r="P2264" s="499"/>
      <c r="Q2264" s="499"/>
    </row>
    <row r="2265" spans="1:17" ht="14.4" x14ac:dyDescent="0.3">
      <c r="A2265" s="502" t="s">
        <v>3603</v>
      </c>
      <c r="B2265" s="503" t="s">
        <v>3604</v>
      </c>
      <c r="C2265" s="514">
        <v>0</v>
      </c>
      <c r="D2265" s="514">
        <v>0</v>
      </c>
      <c r="E2265" s="514">
        <v>0</v>
      </c>
      <c r="F2265" s="514">
        <v>0</v>
      </c>
      <c r="G2265" s="514">
        <v>0</v>
      </c>
      <c r="H2265" s="514">
        <v>0</v>
      </c>
      <c r="I2265" s="514">
        <v>0</v>
      </c>
      <c r="J2265" s="514">
        <v>0</v>
      </c>
      <c r="K2265" s="514">
        <v>0</v>
      </c>
      <c r="L2265" s="514">
        <v>0</v>
      </c>
      <c r="M2265" s="514">
        <v>0</v>
      </c>
      <c r="N2265" s="514">
        <v>0</v>
      </c>
      <c r="O2265" s="499"/>
      <c r="P2265" s="499"/>
      <c r="Q2265" s="499"/>
    </row>
    <row r="2266" spans="1:17" ht="14.4" x14ac:dyDescent="0.3">
      <c r="A2266" s="502" t="s">
        <v>3605</v>
      </c>
      <c r="B2266" s="503" t="s">
        <v>3606</v>
      </c>
      <c r="C2266" s="514">
        <v>0</v>
      </c>
      <c r="D2266" s="514">
        <v>0</v>
      </c>
      <c r="E2266" s="514">
        <v>0</v>
      </c>
      <c r="F2266" s="514">
        <v>0</v>
      </c>
      <c r="G2266" s="514">
        <v>0</v>
      </c>
      <c r="H2266" s="514">
        <v>0</v>
      </c>
      <c r="I2266" s="514">
        <v>0</v>
      </c>
      <c r="J2266" s="514">
        <v>0</v>
      </c>
      <c r="K2266" s="514">
        <v>0</v>
      </c>
      <c r="L2266" s="514">
        <v>0</v>
      </c>
      <c r="M2266" s="514">
        <v>0</v>
      </c>
      <c r="N2266" s="514">
        <v>0</v>
      </c>
      <c r="O2266" s="499"/>
      <c r="P2266" s="499"/>
      <c r="Q2266" s="499"/>
    </row>
    <row r="2267" spans="1:17" ht="14.4" x14ac:dyDescent="0.3">
      <c r="A2267" s="502" t="s">
        <v>3607</v>
      </c>
      <c r="B2267" s="503" t="s">
        <v>1362</v>
      </c>
      <c r="C2267" s="514">
        <v>0</v>
      </c>
      <c r="D2267" s="514">
        <v>0</v>
      </c>
      <c r="E2267" s="514">
        <v>0</v>
      </c>
      <c r="F2267" s="514">
        <v>0</v>
      </c>
      <c r="G2267" s="514">
        <v>0</v>
      </c>
      <c r="H2267" s="514">
        <v>0</v>
      </c>
      <c r="I2267" s="514">
        <v>0</v>
      </c>
      <c r="J2267" s="514">
        <v>0</v>
      </c>
      <c r="K2267" s="514">
        <v>0</v>
      </c>
      <c r="L2267" s="514">
        <v>0</v>
      </c>
      <c r="M2267" s="514">
        <v>0</v>
      </c>
      <c r="N2267" s="514">
        <v>0</v>
      </c>
      <c r="O2267" s="499"/>
      <c r="P2267" s="499"/>
      <c r="Q2267" s="499"/>
    </row>
    <row r="2268" spans="1:17" ht="14.4" x14ac:dyDescent="0.3">
      <c r="A2268" s="502" t="s">
        <v>3608</v>
      </c>
      <c r="B2268" s="503" t="s">
        <v>3609</v>
      </c>
      <c r="C2268" s="514">
        <v>986568.22</v>
      </c>
      <c r="D2268" s="514">
        <v>945354.13</v>
      </c>
      <c r="E2268" s="514">
        <v>945354.13</v>
      </c>
      <c r="F2268" s="514">
        <v>976157.61</v>
      </c>
      <c r="G2268" s="514">
        <v>997228.13</v>
      </c>
      <c r="H2268" s="514">
        <v>934016.52</v>
      </c>
      <c r="I2268" s="514">
        <v>997228.13</v>
      </c>
      <c r="J2268" s="514">
        <v>976157.61</v>
      </c>
      <c r="K2268" s="514">
        <v>955087.09</v>
      </c>
      <c r="L2268" s="514">
        <v>997228.13</v>
      </c>
      <c r="M2268" s="514">
        <v>955087.09</v>
      </c>
      <c r="N2268" s="514">
        <v>976157.61</v>
      </c>
      <c r="O2268" s="499"/>
      <c r="P2268" s="499"/>
      <c r="Q2268" s="499"/>
    </row>
    <row r="2269" spans="1:17" ht="14.4" x14ac:dyDescent="0.3">
      <c r="A2269" s="502" t="s">
        <v>3610</v>
      </c>
      <c r="B2269" s="503" t="s">
        <v>3611</v>
      </c>
      <c r="C2269" s="514">
        <v>0</v>
      </c>
      <c r="D2269" s="514">
        <v>0</v>
      </c>
      <c r="E2269" s="514">
        <v>0</v>
      </c>
      <c r="F2269" s="514">
        <v>0</v>
      </c>
      <c r="G2269" s="514">
        <v>0</v>
      </c>
      <c r="H2269" s="514">
        <v>0</v>
      </c>
      <c r="I2269" s="514">
        <v>0</v>
      </c>
      <c r="J2269" s="514">
        <v>0</v>
      </c>
      <c r="K2269" s="514">
        <v>0</v>
      </c>
      <c r="L2269" s="514">
        <v>0</v>
      </c>
      <c r="M2269" s="514">
        <v>0</v>
      </c>
      <c r="N2269" s="514">
        <v>0</v>
      </c>
      <c r="O2269" s="499"/>
      <c r="P2269" s="499"/>
      <c r="Q2269" s="499"/>
    </row>
    <row r="2270" spans="1:17" ht="14.4" x14ac:dyDescent="0.3">
      <c r="A2270" s="502" t="s">
        <v>3612</v>
      </c>
      <c r="B2270" s="503" t="s">
        <v>1364</v>
      </c>
      <c r="C2270" s="514">
        <v>0</v>
      </c>
      <c r="D2270" s="514">
        <v>0</v>
      </c>
      <c r="E2270" s="514">
        <v>0</v>
      </c>
      <c r="F2270" s="514">
        <v>0</v>
      </c>
      <c r="G2270" s="514">
        <v>0</v>
      </c>
      <c r="H2270" s="514">
        <v>0</v>
      </c>
      <c r="I2270" s="514">
        <v>0</v>
      </c>
      <c r="J2270" s="514">
        <v>0</v>
      </c>
      <c r="K2270" s="514">
        <v>0</v>
      </c>
      <c r="L2270" s="514">
        <v>0</v>
      </c>
      <c r="M2270" s="514">
        <v>0</v>
      </c>
      <c r="N2270" s="514">
        <v>0</v>
      </c>
      <c r="O2270" s="499"/>
      <c r="P2270" s="499"/>
      <c r="Q2270" s="499"/>
    </row>
    <row r="2271" spans="1:17" ht="14.4" x14ac:dyDescent="0.3">
      <c r="A2271" s="502" t="s">
        <v>3613</v>
      </c>
      <c r="B2271" s="503" t="s">
        <v>3614</v>
      </c>
      <c r="C2271" s="514">
        <v>30374.16</v>
      </c>
      <c r="D2271" s="514">
        <v>30374.16</v>
      </c>
      <c r="E2271" s="514">
        <v>30374.16</v>
      </c>
      <c r="F2271" s="514">
        <v>30374.16</v>
      </c>
      <c r="G2271" s="514">
        <v>30374.16</v>
      </c>
      <c r="H2271" s="514">
        <v>30374.16</v>
      </c>
      <c r="I2271" s="514">
        <v>30374.16</v>
      </c>
      <c r="J2271" s="514">
        <v>30374.16</v>
      </c>
      <c r="K2271" s="514">
        <v>30374.16</v>
      </c>
      <c r="L2271" s="514">
        <v>30374.16</v>
      </c>
      <c r="M2271" s="514">
        <v>30374.16</v>
      </c>
      <c r="N2271" s="514">
        <v>30374.16</v>
      </c>
      <c r="O2271" s="499"/>
      <c r="P2271" s="499"/>
      <c r="Q2271" s="499"/>
    </row>
    <row r="2272" spans="1:17" ht="14.4" x14ac:dyDescent="0.3">
      <c r="A2272" s="502" t="s">
        <v>3615</v>
      </c>
      <c r="B2272" s="503" t="s">
        <v>1366</v>
      </c>
      <c r="C2272" s="514">
        <v>0</v>
      </c>
      <c r="D2272" s="514">
        <v>0</v>
      </c>
      <c r="E2272" s="514">
        <v>0</v>
      </c>
      <c r="F2272" s="514">
        <v>0</v>
      </c>
      <c r="G2272" s="514">
        <v>0</v>
      </c>
      <c r="H2272" s="514">
        <v>0</v>
      </c>
      <c r="I2272" s="514">
        <v>0</v>
      </c>
      <c r="J2272" s="514">
        <v>0</v>
      </c>
      <c r="K2272" s="514">
        <v>0</v>
      </c>
      <c r="L2272" s="514">
        <v>0</v>
      </c>
      <c r="M2272" s="514">
        <v>0</v>
      </c>
      <c r="N2272" s="514">
        <v>0</v>
      </c>
      <c r="O2272" s="499"/>
      <c r="P2272" s="499"/>
      <c r="Q2272" s="499"/>
    </row>
    <row r="2273" spans="1:17" ht="14.4" x14ac:dyDescent="0.3">
      <c r="A2273" s="502" t="s">
        <v>3616</v>
      </c>
      <c r="B2273" s="503" t="s">
        <v>3617</v>
      </c>
      <c r="C2273" s="514">
        <v>0</v>
      </c>
      <c r="D2273" s="514">
        <v>0</v>
      </c>
      <c r="E2273" s="514">
        <v>0</v>
      </c>
      <c r="F2273" s="514">
        <v>0</v>
      </c>
      <c r="G2273" s="514">
        <v>0</v>
      </c>
      <c r="H2273" s="514">
        <v>0</v>
      </c>
      <c r="I2273" s="514">
        <v>0</v>
      </c>
      <c r="J2273" s="514">
        <v>0</v>
      </c>
      <c r="K2273" s="514">
        <v>0</v>
      </c>
      <c r="L2273" s="514">
        <v>0</v>
      </c>
      <c r="M2273" s="514">
        <v>0</v>
      </c>
      <c r="N2273" s="514">
        <v>0</v>
      </c>
      <c r="O2273" s="499"/>
      <c r="P2273" s="499"/>
      <c r="Q2273" s="499"/>
    </row>
    <row r="2274" spans="1:17" ht="14.4" x14ac:dyDescent="0.3">
      <c r="A2274" s="502" t="s">
        <v>3618</v>
      </c>
      <c r="B2274" s="503" t="s">
        <v>3619</v>
      </c>
      <c r="C2274" s="514">
        <v>0</v>
      </c>
      <c r="D2274" s="514">
        <v>0</v>
      </c>
      <c r="E2274" s="514">
        <v>0</v>
      </c>
      <c r="F2274" s="514">
        <v>0</v>
      </c>
      <c r="G2274" s="514">
        <v>0</v>
      </c>
      <c r="H2274" s="514">
        <v>0</v>
      </c>
      <c r="I2274" s="514">
        <v>0</v>
      </c>
      <c r="J2274" s="514">
        <v>0</v>
      </c>
      <c r="K2274" s="514">
        <v>0</v>
      </c>
      <c r="L2274" s="514">
        <v>0</v>
      </c>
      <c r="M2274" s="514">
        <v>0</v>
      </c>
      <c r="N2274" s="514">
        <v>0</v>
      </c>
      <c r="O2274" s="499"/>
      <c r="P2274" s="499"/>
      <c r="Q2274" s="499"/>
    </row>
    <row r="2275" spans="1:17" ht="14.4" x14ac:dyDescent="0.3">
      <c r="A2275" s="502" t="s">
        <v>3620</v>
      </c>
      <c r="B2275" s="503" t="s">
        <v>1410</v>
      </c>
      <c r="C2275" s="514">
        <v>0</v>
      </c>
      <c r="D2275" s="514">
        <v>0</v>
      </c>
      <c r="E2275" s="514">
        <v>0</v>
      </c>
      <c r="F2275" s="514">
        <v>0</v>
      </c>
      <c r="G2275" s="514">
        <v>0</v>
      </c>
      <c r="H2275" s="514">
        <v>0</v>
      </c>
      <c r="I2275" s="514">
        <v>0</v>
      </c>
      <c r="J2275" s="514">
        <v>0</v>
      </c>
      <c r="K2275" s="514">
        <v>0</v>
      </c>
      <c r="L2275" s="514">
        <v>0</v>
      </c>
      <c r="M2275" s="514">
        <v>0</v>
      </c>
      <c r="N2275" s="514">
        <v>0</v>
      </c>
      <c r="O2275" s="499"/>
      <c r="P2275" s="499"/>
      <c r="Q2275" s="499"/>
    </row>
    <row r="2276" spans="1:17" ht="14.4" x14ac:dyDescent="0.3">
      <c r="A2276" s="502" t="s">
        <v>3621</v>
      </c>
      <c r="B2276" s="503" t="s">
        <v>1412</v>
      </c>
      <c r="C2276" s="514">
        <v>29185</v>
      </c>
      <c r="D2276" s="514">
        <v>63685</v>
      </c>
      <c r="E2276" s="514">
        <v>3685</v>
      </c>
      <c r="F2276" s="514">
        <v>3685</v>
      </c>
      <c r="G2276" s="514">
        <v>48685</v>
      </c>
      <c r="H2276" s="514">
        <v>3685</v>
      </c>
      <c r="I2276" s="514">
        <v>3685</v>
      </c>
      <c r="J2276" s="514">
        <v>3685</v>
      </c>
      <c r="K2276" s="514">
        <v>3685</v>
      </c>
      <c r="L2276" s="514">
        <v>3685</v>
      </c>
      <c r="M2276" s="514">
        <v>3685</v>
      </c>
      <c r="N2276" s="514">
        <v>3685</v>
      </c>
      <c r="O2276" s="499"/>
      <c r="P2276" s="499"/>
      <c r="Q2276" s="499"/>
    </row>
    <row r="2277" spans="1:17" ht="14.4" x14ac:dyDescent="0.3">
      <c r="A2277" s="502" t="s">
        <v>3622</v>
      </c>
      <c r="B2277" s="503" t="s">
        <v>3623</v>
      </c>
      <c r="C2277" s="514">
        <v>0</v>
      </c>
      <c r="D2277" s="514">
        <v>0</v>
      </c>
      <c r="E2277" s="514">
        <v>0</v>
      </c>
      <c r="F2277" s="514">
        <v>0</v>
      </c>
      <c r="G2277" s="514">
        <v>0</v>
      </c>
      <c r="H2277" s="514">
        <v>0</v>
      </c>
      <c r="I2277" s="514">
        <v>0</v>
      </c>
      <c r="J2277" s="514">
        <v>0</v>
      </c>
      <c r="K2277" s="514">
        <v>0</v>
      </c>
      <c r="L2277" s="514">
        <v>0</v>
      </c>
      <c r="M2277" s="514">
        <v>0</v>
      </c>
      <c r="N2277" s="514">
        <v>0</v>
      </c>
      <c r="O2277" s="499"/>
      <c r="P2277" s="499"/>
      <c r="Q2277" s="499"/>
    </row>
    <row r="2278" spans="1:17" ht="14.4" x14ac:dyDescent="0.3">
      <c r="A2278" s="502" t="s">
        <v>3624</v>
      </c>
      <c r="B2278" s="503" t="s">
        <v>3625</v>
      </c>
      <c r="C2278" s="514">
        <v>0</v>
      </c>
      <c r="D2278" s="514">
        <v>0</v>
      </c>
      <c r="E2278" s="514">
        <v>0</v>
      </c>
      <c r="F2278" s="514">
        <v>0</v>
      </c>
      <c r="G2278" s="514">
        <v>0</v>
      </c>
      <c r="H2278" s="514">
        <v>0</v>
      </c>
      <c r="I2278" s="514">
        <v>0</v>
      </c>
      <c r="J2278" s="514">
        <v>0</v>
      </c>
      <c r="K2278" s="514">
        <v>0</v>
      </c>
      <c r="L2278" s="514">
        <v>0</v>
      </c>
      <c r="M2278" s="514">
        <v>0</v>
      </c>
      <c r="N2278" s="514">
        <v>0</v>
      </c>
      <c r="O2278" s="499"/>
      <c r="P2278" s="499"/>
      <c r="Q2278" s="499"/>
    </row>
    <row r="2279" spans="1:17" ht="14.4" x14ac:dyDescent="0.3">
      <c r="A2279" s="502" t="s">
        <v>3626</v>
      </c>
      <c r="B2279" s="503" t="s">
        <v>3627</v>
      </c>
      <c r="C2279" s="514">
        <v>0</v>
      </c>
      <c r="D2279" s="514">
        <v>0</v>
      </c>
      <c r="E2279" s="514">
        <v>0</v>
      </c>
      <c r="F2279" s="514">
        <v>0</v>
      </c>
      <c r="G2279" s="514">
        <v>0</v>
      </c>
      <c r="H2279" s="514">
        <v>0</v>
      </c>
      <c r="I2279" s="514">
        <v>0</v>
      </c>
      <c r="J2279" s="514">
        <v>0</v>
      </c>
      <c r="K2279" s="514">
        <v>0</v>
      </c>
      <c r="L2279" s="514">
        <v>0</v>
      </c>
      <c r="M2279" s="514">
        <v>0</v>
      </c>
      <c r="N2279" s="514">
        <v>0</v>
      </c>
      <c r="O2279" s="499"/>
      <c r="P2279" s="499"/>
      <c r="Q2279" s="499"/>
    </row>
    <row r="2280" spans="1:17" ht="14.4" x14ac:dyDescent="0.3">
      <c r="A2280" s="502" t="s">
        <v>3628</v>
      </c>
      <c r="B2280" s="503" t="s">
        <v>3629</v>
      </c>
      <c r="C2280" s="514">
        <v>0</v>
      </c>
      <c r="D2280" s="514">
        <v>0</v>
      </c>
      <c r="E2280" s="514">
        <v>0</v>
      </c>
      <c r="F2280" s="514">
        <v>0</v>
      </c>
      <c r="G2280" s="514">
        <v>0</v>
      </c>
      <c r="H2280" s="514">
        <v>0</v>
      </c>
      <c r="I2280" s="514">
        <v>0</v>
      </c>
      <c r="J2280" s="514">
        <v>0</v>
      </c>
      <c r="K2280" s="514">
        <v>0</v>
      </c>
      <c r="L2280" s="514">
        <v>0</v>
      </c>
      <c r="M2280" s="514">
        <v>0</v>
      </c>
      <c r="N2280" s="514">
        <v>0</v>
      </c>
      <c r="O2280" s="499"/>
      <c r="P2280" s="499"/>
      <c r="Q2280" s="499"/>
    </row>
    <row r="2281" spans="1:17" ht="14.4" x14ac:dyDescent="0.3">
      <c r="A2281" s="502" t="s">
        <v>3630</v>
      </c>
      <c r="B2281" s="503" t="s">
        <v>3631</v>
      </c>
      <c r="C2281" s="514">
        <v>0</v>
      </c>
      <c r="D2281" s="514">
        <v>0</v>
      </c>
      <c r="E2281" s="514">
        <v>0</v>
      </c>
      <c r="F2281" s="514">
        <v>0</v>
      </c>
      <c r="G2281" s="514">
        <v>0</v>
      </c>
      <c r="H2281" s="514">
        <v>0</v>
      </c>
      <c r="I2281" s="514">
        <v>0</v>
      </c>
      <c r="J2281" s="514">
        <v>0</v>
      </c>
      <c r="K2281" s="514">
        <v>0</v>
      </c>
      <c r="L2281" s="514">
        <v>0</v>
      </c>
      <c r="M2281" s="514">
        <v>0</v>
      </c>
      <c r="N2281" s="514">
        <v>0</v>
      </c>
      <c r="O2281" s="499"/>
      <c r="P2281" s="499"/>
      <c r="Q2281" s="499"/>
    </row>
    <row r="2282" spans="1:17" ht="14.4" x14ac:dyDescent="0.3">
      <c r="A2282" s="502" t="s">
        <v>3632</v>
      </c>
      <c r="B2282" s="503" t="s">
        <v>3633</v>
      </c>
      <c r="C2282" s="514">
        <v>0</v>
      </c>
      <c r="D2282" s="514">
        <v>0</v>
      </c>
      <c r="E2282" s="514">
        <v>0</v>
      </c>
      <c r="F2282" s="514">
        <v>0</v>
      </c>
      <c r="G2282" s="514">
        <v>0</v>
      </c>
      <c r="H2282" s="514">
        <v>0</v>
      </c>
      <c r="I2282" s="514">
        <v>0</v>
      </c>
      <c r="J2282" s="514">
        <v>0</v>
      </c>
      <c r="K2282" s="514">
        <v>0</v>
      </c>
      <c r="L2282" s="514">
        <v>0</v>
      </c>
      <c r="M2282" s="514">
        <v>0</v>
      </c>
      <c r="N2282" s="514">
        <v>0</v>
      </c>
      <c r="O2282" s="499"/>
      <c r="P2282" s="499"/>
      <c r="Q2282" s="499"/>
    </row>
    <row r="2283" spans="1:17" ht="14.4" x14ac:dyDescent="0.3">
      <c r="A2283" s="502" t="s">
        <v>3634</v>
      </c>
      <c r="B2283" s="503" t="s">
        <v>3635</v>
      </c>
      <c r="C2283" s="514">
        <v>0</v>
      </c>
      <c r="D2283" s="514">
        <v>0</v>
      </c>
      <c r="E2283" s="514">
        <v>0</v>
      </c>
      <c r="F2283" s="514">
        <v>0</v>
      </c>
      <c r="G2283" s="514">
        <v>0</v>
      </c>
      <c r="H2283" s="514">
        <v>0</v>
      </c>
      <c r="I2283" s="514">
        <v>0</v>
      </c>
      <c r="J2283" s="514">
        <v>0</v>
      </c>
      <c r="K2283" s="514">
        <v>0</v>
      </c>
      <c r="L2283" s="514">
        <v>0</v>
      </c>
      <c r="M2283" s="514">
        <v>0</v>
      </c>
      <c r="N2283" s="514">
        <v>0</v>
      </c>
      <c r="O2283" s="499"/>
      <c r="P2283" s="499"/>
      <c r="Q2283" s="499"/>
    </row>
    <row r="2284" spans="1:17" ht="14.4" x14ac:dyDescent="0.3">
      <c r="A2284" s="502" t="s">
        <v>3636</v>
      </c>
      <c r="B2284" s="503" t="s">
        <v>1368</v>
      </c>
      <c r="C2284" s="514">
        <v>131577.76</v>
      </c>
      <c r="D2284" s="514">
        <v>116586.31</v>
      </c>
      <c r="E2284" s="514">
        <v>116586.31</v>
      </c>
      <c r="F2284" s="514">
        <v>126718.21</v>
      </c>
      <c r="G2284" s="514">
        <v>132478.12</v>
      </c>
      <c r="H2284" s="514">
        <v>115198.37</v>
      </c>
      <c r="I2284" s="514">
        <v>132478.12</v>
      </c>
      <c r="J2284" s="514">
        <v>126718.21</v>
      </c>
      <c r="K2284" s="514">
        <v>120958.29</v>
      </c>
      <c r="L2284" s="514">
        <v>132478.12</v>
      </c>
      <c r="M2284" s="514">
        <v>120958.29</v>
      </c>
      <c r="N2284" s="514">
        <v>126718.21</v>
      </c>
      <c r="O2284" s="499"/>
      <c r="P2284" s="499"/>
      <c r="Q2284" s="499"/>
    </row>
    <row r="2285" spans="1:17" ht="14.4" x14ac:dyDescent="0.3">
      <c r="A2285" s="502" t="s">
        <v>3637</v>
      </c>
      <c r="B2285" s="503" t="s">
        <v>3638</v>
      </c>
      <c r="C2285" s="514">
        <v>0</v>
      </c>
      <c r="D2285" s="514">
        <v>0</v>
      </c>
      <c r="E2285" s="514">
        <v>0</v>
      </c>
      <c r="F2285" s="514">
        <v>0</v>
      </c>
      <c r="G2285" s="514">
        <v>0</v>
      </c>
      <c r="H2285" s="514">
        <v>0</v>
      </c>
      <c r="I2285" s="514">
        <v>0</v>
      </c>
      <c r="J2285" s="514">
        <v>0</v>
      </c>
      <c r="K2285" s="514">
        <v>0</v>
      </c>
      <c r="L2285" s="514">
        <v>0</v>
      </c>
      <c r="M2285" s="514">
        <v>0</v>
      </c>
      <c r="N2285" s="514">
        <v>0</v>
      </c>
      <c r="O2285" s="499"/>
      <c r="P2285" s="499"/>
      <c r="Q2285" s="499"/>
    </row>
    <row r="2286" spans="1:17" ht="14.4" x14ac:dyDescent="0.3">
      <c r="A2286" s="502" t="s">
        <v>3639</v>
      </c>
      <c r="B2286" s="503" t="s">
        <v>3640</v>
      </c>
      <c r="C2286" s="514">
        <v>0</v>
      </c>
      <c r="D2286" s="514">
        <v>0</v>
      </c>
      <c r="E2286" s="514">
        <v>0</v>
      </c>
      <c r="F2286" s="514">
        <v>0</v>
      </c>
      <c r="G2286" s="514">
        <v>0</v>
      </c>
      <c r="H2286" s="514">
        <v>0</v>
      </c>
      <c r="I2286" s="514">
        <v>0</v>
      </c>
      <c r="J2286" s="514">
        <v>0</v>
      </c>
      <c r="K2286" s="514">
        <v>0</v>
      </c>
      <c r="L2286" s="514">
        <v>0</v>
      </c>
      <c r="M2286" s="514">
        <v>0</v>
      </c>
      <c r="N2286" s="514">
        <v>0</v>
      </c>
      <c r="O2286" s="499"/>
      <c r="P2286" s="499"/>
      <c r="Q2286" s="499"/>
    </row>
    <row r="2287" spans="1:17" ht="14.4" x14ac:dyDescent="0.3">
      <c r="A2287" s="502" t="s">
        <v>3641</v>
      </c>
      <c r="B2287" s="503" t="s">
        <v>3642</v>
      </c>
      <c r="C2287" s="514">
        <v>0</v>
      </c>
      <c r="D2287" s="514">
        <v>0</v>
      </c>
      <c r="E2287" s="514">
        <v>0</v>
      </c>
      <c r="F2287" s="514">
        <v>0</v>
      </c>
      <c r="G2287" s="514">
        <v>0</v>
      </c>
      <c r="H2287" s="514">
        <v>0</v>
      </c>
      <c r="I2287" s="514">
        <v>0</v>
      </c>
      <c r="J2287" s="514">
        <v>0</v>
      </c>
      <c r="K2287" s="514">
        <v>0</v>
      </c>
      <c r="L2287" s="514">
        <v>0</v>
      </c>
      <c r="M2287" s="514">
        <v>0</v>
      </c>
      <c r="N2287" s="514">
        <v>0</v>
      </c>
      <c r="O2287" s="499"/>
      <c r="P2287" s="499"/>
      <c r="Q2287" s="499"/>
    </row>
    <row r="2288" spans="1:17" ht="14.4" x14ac:dyDescent="0.3">
      <c r="A2288" s="502" t="s">
        <v>3643</v>
      </c>
      <c r="B2288" s="503" t="s">
        <v>3644</v>
      </c>
      <c r="C2288" s="514">
        <v>0</v>
      </c>
      <c r="D2288" s="514">
        <v>0</v>
      </c>
      <c r="E2288" s="514">
        <v>0</v>
      </c>
      <c r="F2288" s="514">
        <v>0</v>
      </c>
      <c r="G2288" s="514">
        <v>0</v>
      </c>
      <c r="H2288" s="514">
        <v>0</v>
      </c>
      <c r="I2288" s="514">
        <v>0</v>
      </c>
      <c r="J2288" s="514">
        <v>0</v>
      </c>
      <c r="K2288" s="514">
        <v>0</v>
      </c>
      <c r="L2288" s="514">
        <v>0</v>
      </c>
      <c r="M2288" s="514">
        <v>0</v>
      </c>
      <c r="N2288" s="514">
        <v>0</v>
      </c>
      <c r="O2288" s="499"/>
      <c r="P2288" s="499"/>
      <c r="Q2288" s="499"/>
    </row>
    <row r="2289" spans="1:17" ht="14.4" x14ac:dyDescent="0.3">
      <c r="A2289" s="502" t="s">
        <v>3645</v>
      </c>
      <c r="B2289" s="503" t="s">
        <v>3646</v>
      </c>
      <c r="C2289" s="514">
        <v>0</v>
      </c>
      <c r="D2289" s="514">
        <v>0</v>
      </c>
      <c r="E2289" s="514">
        <v>0</v>
      </c>
      <c r="F2289" s="514">
        <v>0</v>
      </c>
      <c r="G2289" s="514">
        <v>0</v>
      </c>
      <c r="H2289" s="514">
        <v>0</v>
      </c>
      <c r="I2289" s="514">
        <v>0</v>
      </c>
      <c r="J2289" s="514">
        <v>0</v>
      </c>
      <c r="K2289" s="514">
        <v>0</v>
      </c>
      <c r="L2289" s="514">
        <v>0</v>
      </c>
      <c r="M2289" s="514">
        <v>0</v>
      </c>
      <c r="N2289" s="514">
        <v>0</v>
      </c>
      <c r="O2289" s="499"/>
      <c r="P2289" s="499"/>
      <c r="Q2289" s="499"/>
    </row>
    <row r="2290" spans="1:17" ht="14.4" x14ac:dyDescent="0.3">
      <c r="A2290" s="502" t="s">
        <v>3647</v>
      </c>
      <c r="B2290" s="503" t="s">
        <v>3648</v>
      </c>
      <c r="C2290" s="514">
        <v>0</v>
      </c>
      <c r="D2290" s="514">
        <v>0</v>
      </c>
      <c r="E2290" s="514">
        <v>0</v>
      </c>
      <c r="F2290" s="514">
        <v>0</v>
      </c>
      <c r="G2290" s="514">
        <v>0</v>
      </c>
      <c r="H2290" s="514">
        <v>0</v>
      </c>
      <c r="I2290" s="514">
        <v>0</v>
      </c>
      <c r="J2290" s="514">
        <v>0</v>
      </c>
      <c r="K2290" s="514">
        <v>0</v>
      </c>
      <c r="L2290" s="514">
        <v>0</v>
      </c>
      <c r="M2290" s="514">
        <v>0</v>
      </c>
      <c r="N2290" s="514">
        <v>0</v>
      </c>
      <c r="O2290" s="499"/>
      <c r="P2290" s="499"/>
      <c r="Q2290" s="499"/>
    </row>
    <row r="2291" spans="1:17" ht="14.4" x14ac:dyDescent="0.3">
      <c r="A2291" s="502" t="s">
        <v>3649</v>
      </c>
      <c r="B2291" s="503" t="s">
        <v>3650</v>
      </c>
      <c r="C2291" s="514">
        <v>0</v>
      </c>
      <c r="D2291" s="514">
        <v>0</v>
      </c>
      <c r="E2291" s="514">
        <v>0</v>
      </c>
      <c r="F2291" s="514">
        <v>0</v>
      </c>
      <c r="G2291" s="514">
        <v>0</v>
      </c>
      <c r="H2291" s="514">
        <v>0</v>
      </c>
      <c r="I2291" s="514">
        <v>0</v>
      </c>
      <c r="J2291" s="514">
        <v>0</v>
      </c>
      <c r="K2291" s="514">
        <v>0</v>
      </c>
      <c r="L2291" s="514">
        <v>0</v>
      </c>
      <c r="M2291" s="514">
        <v>0</v>
      </c>
      <c r="N2291" s="514">
        <v>0</v>
      </c>
      <c r="O2291" s="499"/>
      <c r="P2291" s="499"/>
      <c r="Q2291" s="499"/>
    </row>
    <row r="2292" spans="1:17" ht="14.4" x14ac:dyDescent="0.3">
      <c r="A2292" s="502" t="s">
        <v>3651</v>
      </c>
      <c r="B2292" s="503" t="s">
        <v>3652</v>
      </c>
      <c r="C2292" s="514">
        <v>0</v>
      </c>
      <c r="D2292" s="514">
        <v>0</v>
      </c>
      <c r="E2292" s="514">
        <v>0</v>
      </c>
      <c r="F2292" s="514">
        <v>0</v>
      </c>
      <c r="G2292" s="514">
        <v>0</v>
      </c>
      <c r="H2292" s="514">
        <v>0</v>
      </c>
      <c r="I2292" s="514">
        <v>0</v>
      </c>
      <c r="J2292" s="514">
        <v>0</v>
      </c>
      <c r="K2292" s="514">
        <v>0</v>
      </c>
      <c r="L2292" s="514">
        <v>0</v>
      </c>
      <c r="M2292" s="514">
        <v>0</v>
      </c>
      <c r="N2292" s="514">
        <v>0</v>
      </c>
      <c r="O2292" s="499"/>
      <c r="P2292" s="499"/>
      <c r="Q2292" s="499"/>
    </row>
    <row r="2293" spans="1:17" ht="14.4" x14ac:dyDescent="0.3">
      <c r="A2293" s="502" t="s">
        <v>3653</v>
      </c>
      <c r="B2293" s="503" t="s">
        <v>3654</v>
      </c>
      <c r="C2293" s="514">
        <v>0</v>
      </c>
      <c r="D2293" s="514">
        <v>0</v>
      </c>
      <c r="E2293" s="514">
        <v>0</v>
      </c>
      <c r="F2293" s="514">
        <v>0</v>
      </c>
      <c r="G2293" s="514">
        <v>0</v>
      </c>
      <c r="H2293" s="514">
        <v>0</v>
      </c>
      <c r="I2293" s="514">
        <v>0</v>
      </c>
      <c r="J2293" s="514">
        <v>0</v>
      </c>
      <c r="K2293" s="514">
        <v>0</v>
      </c>
      <c r="L2293" s="514">
        <v>0</v>
      </c>
      <c r="M2293" s="514">
        <v>0</v>
      </c>
      <c r="N2293" s="514">
        <v>0</v>
      </c>
      <c r="O2293" s="499"/>
      <c r="P2293" s="499"/>
      <c r="Q2293" s="499"/>
    </row>
    <row r="2294" spans="1:17" ht="14.4" x14ac:dyDescent="0.3">
      <c r="A2294" s="502" t="s">
        <v>3655</v>
      </c>
      <c r="B2294" s="503" t="s">
        <v>3656</v>
      </c>
      <c r="C2294" s="514">
        <v>0</v>
      </c>
      <c r="D2294" s="514">
        <v>0</v>
      </c>
      <c r="E2294" s="514">
        <v>0</v>
      </c>
      <c r="F2294" s="514">
        <v>0</v>
      </c>
      <c r="G2294" s="514">
        <v>0</v>
      </c>
      <c r="H2294" s="514">
        <v>0</v>
      </c>
      <c r="I2294" s="514">
        <v>0</v>
      </c>
      <c r="J2294" s="514">
        <v>0</v>
      </c>
      <c r="K2294" s="514">
        <v>0</v>
      </c>
      <c r="L2294" s="514">
        <v>0</v>
      </c>
      <c r="M2294" s="514">
        <v>0</v>
      </c>
      <c r="N2294" s="514">
        <v>0</v>
      </c>
      <c r="O2294" s="499"/>
      <c r="P2294" s="499"/>
      <c r="Q2294" s="499"/>
    </row>
    <row r="2295" spans="1:17" ht="14.4" x14ac:dyDescent="0.3">
      <c r="A2295" s="502" t="s">
        <v>3657</v>
      </c>
      <c r="B2295" s="503" t="s">
        <v>3658</v>
      </c>
      <c r="C2295" s="514">
        <v>0</v>
      </c>
      <c r="D2295" s="514">
        <v>0</v>
      </c>
      <c r="E2295" s="514">
        <v>0</v>
      </c>
      <c r="F2295" s="514">
        <v>0</v>
      </c>
      <c r="G2295" s="514">
        <v>0</v>
      </c>
      <c r="H2295" s="514">
        <v>0</v>
      </c>
      <c r="I2295" s="514">
        <v>0</v>
      </c>
      <c r="J2295" s="514">
        <v>0</v>
      </c>
      <c r="K2295" s="514">
        <v>0</v>
      </c>
      <c r="L2295" s="514">
        <v>0</v>
      </c>
      <c r="M2295" s="514">
        <v>0</v>
      </c>
      <c r="N2295" s="514">
        <v>0</v>
      </c>
      <c r="O2295" s="499"/>
      <c r="P2295" s="499"/>
      <c r="Q2295" s="499"/>
    </row>
    <row r="2296" spans="1:17" ht="14.4" x14ac:dyDescent="0.3">
      <c r="A2296" s="502" t="s">
        <v>3659</v>
      </c>
      <c r="B2296" s="503" t="s">
        <v>3660</v>
      </c>
      <c r="C2296" s="514">
        <v>0</v>
      </c>
      <c r="D2296" s="514">
        <v>0</v>
      </c>
      <c r="E2296" s="514">
        <v>0</v>
      </c>
      <c r="F2296" s="514">
        <v>0</v>
      </c>
      <c r="G2296" s="514">
        <v>0</v>
      </c>
      <c r="H2296" s="514">
        <v>0</v>
      </c>
      <c r="I2296" s="514">
        <v>0</v>
      </c>
      <c r="J2296" s="514">
        <v>0</v>
      </c>
      <c r="K2296" s="514">
        <v>0</v>
      </c>
      <c r="L2296" s="514">
        <v>0</v>
      </c>
      <c r="M2296" s="514">
        <v>0</v>
      </c>
      <c r="N2296" s="514">
        <v>0</v>
      </c>
      <c r="O2296" s="499"/>
      <c r="P2296" s="499"/>
      <c r="Q2296" s="499"/>
    </row>
    <row r="2297" spans="1:17" ht="14.4" x14ac:dyDescent="0.3">
      <c r="A2297" s="502" t="s">
        <v>3661</v>
      </c>
      <c r="B2297" s="503" t="s">
        <v>3662</v>
      </c>
      <c r="C2297" s="514">
        <v>0</v>
      </c>
      <c r="D2297" s="514">
        <v>0</v>
      </c>
      <c r="E2297" s="514">
        <v>0</v>
      </c>
      <c r="F2297" s="514">
        <v>0</v>
      </c>
      <c r="G2297" s="514">
        <v>0</v>
      </c>
      <c r="H2297" s="514">
        <v>0</v>
      </c>
      <c r="I2297" s="514">
        <v>0</v>
      </c>
      <c r="J2297" s="514">
        <v>0</v>
      </c>
      <c r="K2297" s="514">
        <v>0</v>
      </c>
      <c r="L2297" s="514">
        <v>0</v>
      </c>
      <c r="M2297" s="514">
        <v>0</v>
      </c>
      <c r="N2297" s="514">
        <v>0</v>
      </c>
      <c r="O2297" s="499"/>
      <c r="P2297" s="499"/>
      <c r="Q2297" s="499"/>
    </row>
    <row r="2298" spans="1:17" ht="14.4" x14ac:dyDescent="0.3">
      <c r="A2298" s="502" t="s">
        <v>3663</v>
      </c>
      <c r="B2298" s="503" t="s">
        <v>3664</v>
      </c>
      <c r="C2298" s="514">
        <v>0</v>
      </c>
      <c r="D2298" s="514">
        <v>0</v>
      </c>
      <c r="E2298" s="514">
        <v>0</v>
      </c>
      <c r="F2298" s="514">
        <v>0</v>
      </c>
      <c r="G2298" s="514">
        <v>0</v>
      </c>
      <c r="H2298" s="514">
        <v>0</v>
      </c>
      <c r="I2298" s="514">
        <v>0</v>
      </c>
      <c r="J2298" s="514">
        <v>0</v>
      </c>
      <c r="K2298" s="514">
        <v>0</v>
      </c>
      <c r="L2298" s="514">
        <v>0</v>
      </c>
      <c r="M2298" s="514">
        <v>0</v>
      </c>
      <c r="N2298" s="514">
        <v>0</v>
      </c>
      <c r="O2298" s="499"/>
      <c r="P2298" s="499"/>
      <c r="Q2298" s="499"/>
    </row>
    <row r="2299" spans="1:17" ht="14.4" x14ac:dyDescent="0.3">
      <c r="A2299" s="502" t="s">
        <v>3665</v>
      </c>
      <c r="B2299" s="503" t="s">
        <v>3666</v>
      </c>
      <c r="C2299" s="514">
        <v>0</v>
      </c>
      <c r="D2299" s="514">
        <v>0</v>
      </c>
      <c r="E2299" s="514">
        <v>0</v>
      </c>
      <c r="F2299" s="514">
        <v>0</v>
      </c>
      <c r="G2299" s="514">
        <v>0</v>
      </c>
      <c r="H2299" s="514">
        <v>0</v>
      </c>
      <c r="I2299" s="514">
        <v>0</v>
      </c>
      <c r="J2299" s="514">
        <v>0</v>
      </c>
      <c r="K2299" s="514">
        <v>0</v>
      </c>
      <c r="L2299" s="514">
        <v>0</v>
      </c>
      <c r="M2299" s="514">
        <v>0</v>
      </c>
      <c r="N2299" s="514">
        <v>0</v>
      </c>
      <c r="O2299" s="499"/>
      <c r="P2299" s="499"/>
      <c r="Q2299" s="499"/>
    </row>
    <row r="2300" spans="1:17" ht="14.4" x14ac:dyDescent="0.3">
      <c r="A2300" s="502" t="s">
        <v>3667</v>
      </c>
      <c r="B2300" s="503" t="s">
        <v>3668</v>
      </c>
      <c r="C2300" s="514">
        <v>0</v>
      </c>
      <c r="D2300" s="514">
        <v>0</v>
      </c>
      <c r="E2300" s="514">
        <v>0</v>
      </c>
      <c r="F2300" s="514">
        <v>0</v>
      </c>
      <c r="G2300" s="514">
        <v>0</v>
      </c>
      <c r="H2300" s="514">
        <v>0</v>
      </c>
      <c r="I2300" s="514">
        <v>0</v>
      </c>
      <c r="J2300" s="514">
        <v>0</v>
      </c>
      <c r="K2300" s="514">
        <v>0</v>
      </c>
      <c r="L2300" s="514">
        <v>0</v>
      </c>
      <c r="M2300" s="514">
        <v>0</v>
      </c>
      <c r="N2300" s="514">
        <v>0</v>
      </c>
      <c r="O2300" s="499"/>
      <c r="P2300" s="499"/>
      <c r="Q2300" s="499"/>
    </row>
    <row r="2301" spans="1:17" ht="14.4" x14ac:dyDescent="0.3">
      <c r="A2301" s="502" t="s">
        <v>3669</v>
      </c>
      <c r="B2301" s="503" t="s">
        <v>3670</v>
      </c>
      <c r="C2301" s="514">
        <v>0</v>
      </c>
      <c r="D2301" s="514">
        <v>0</v>
      </c>
      <c r="E2301" s="514">
        <v>0</v>
      </c>
      <c r="F2301" s="514">
        <v>0</v>
      </c>
      <c r="G2301" s="514">
        <v>0</v>
      </c>
      <c r="H2301" s="514">
        <v>0</v>
      </c>
      <c r="I2301" s="514">
        <v>0</v>
      </c>
      <c r="J2301" s="514">
        <v>0</v>
      </c>
      <c r="K2301" s="514">
        <v>0</v>
      </c>
      <c r="L2301" s="514">
        <v>0</v>
      </c>
      <c r="M2301" s="514">
        <v>0</v>
      </c>
      <c r="N2301" s="514">
        <v>0</v>
      </c>
      <c r="O2301" s="499"/>
      <c r="P2301" s="499"/>
      <c r="Q2301" s="499"/>
    </row>
    <row r="2302" spans="1:17" ht="14.4" x14ac:dyDescent="0.3">
      <c r="A2302" s="502" t="s">
        <v>3671</v>
      </c>
      <c r="B2302" s="503" t="s">
        <v>3672</v>
      </c>
      <c r="C2302" s="514">
        <v>0</v>
      </c>
      <c r="D2302" s="514">
        <v>0</v>
      </c>
      <c r="E2302" s="514">
        <v>0</v>
      </c>
      <c r="F2302" s="514">
        <v>0</v>
      </c>
      <c r="G2302" s="514">
        <v>0</v>
      </c>
      <c r="H2302" s="514">
        <v>0</v>
      </c>
      <c r="I2302" s="514">
        <v>0</v>
      </c>
      <c r="J2302" s="514">
        <v>0</v>
      </c>
      <c r="K2302" s="514">
        <v>0</v>
      </c>
      <c r="L2302" s="514">
        <v>0</v>
      </c>
      <c r="M2302" s="514">
        <v>0</v>
      </c>
      <c r="N2302" s="514">
        <v>0</v>
      </c>
      <c r="O2302" s="499"/>
      <c r="P2302" s="499"/>
      <c r="Q2302" s="499"/>
    </row>
    <row r="2303" spans="1:17" ht="14.4" x14ac:dyDescent="0.3">
      <c r="A2303" s="502" t="s">
        <v>3673</v>
      </c>
      <c r="B2303" s="503" t="s">
        <v>3674</v>
      </c>
      <c r="C2303" s="514">
        <v>0</v>
      </c>
      <c r="D2303" s="514">
        <v>0</v>
      </c>
      <c r="E2303" s="514">
        <v>0</v>
      </c>
      <c r="F2303" s="514">
        <v>0</v>
      </c>
      <c r="G2303" s="514">
        <v>0</v>
      </c>
      <c r="H2303" s="514">
        <v>0</v>
      </c>
      <c r="I2303" s="514">
        <v>0</v>
      </c>
      <c r="J2303" s="514">
        <v>0</v>
      </c>
      <c r="K2303" s="514">
        <v>0</v>
      </c>
      <c r="L2303" s="514">
        <v>0</v>
      </c>
      <c r="M2303" s="514">
        <v>0</v>
      </c>
      <c r="N2303" s="514">
        <v>0</v>
      </c>
      <c r="O2303" s="499"/>
      <c r="P2303" s="499"/>
      <c r="Q2303" s="499"/>
    </row>
    <row r="2304" spans="1:17" ht="14.4" x14ac:dyDescent="0.3">
      <c r="A2304" s="502" t="s">
        <v>3675</v>
      </c>
      <c r="B2304" s="503" t="s">
        <v>3676</v>
      </c>
      <c r="C2304" s="514">
        <v>0</v>
      </c>
      <c r="D2304" s="514">
        <v>0</v>
      </c>
      <c r="E2304" s="514">
        <v>0</v>
      </c>
      <c r="F2304" s="514">
        <v>0</v>
      </c>
      <c r="G2304" s="514">
        <v>0</v>
      </c>
      <c r="H2304" s="514">
        <v>0</v>
      </c>
      <c r="I2304" s="514">
        <v>0</v>
      </c>
      <c r="J2304" s="514">
        <v>0</v>
      </c>
      <c r="K2304" s="514">
        <v>0</v>
      </c>
      <c r="L2304" s="514">
        <v>0</v>
      </c>
      <c r="M2304" s="514">
        <v>0</v>
      </c>
      <c r="N2304" s="514">
        <v>0</v>
      </c>
      <c r="O2304" s="499"/>
      <c r="P2304" s="499"/>
      <c r="Q2304" s="499"/>
    </row>
    <row r="2305" spans="1:17" ht="14.4" x14ac:dyDescent="0.3">
      <c r="A2305" s="502" t="s">
        <v>3677</v>
      </c>
      <c r="B2305" s="503" t="s">
        <v>3678</v>
      </c>
      <c r="C2305" s="514">
        <v>0</v>
      </c>
      <c r="D2305" s="514">
        <v>0</v>
      </c>
      <c r="E2305" s="514">
        <v>0</v>
      </c>
      <c r="F2305" s="514">
        <v>0</v>
      </c>
      <c r="G2305" s="514">
        <v>0</v>
      </c>
      <c r="H2305" s="514">
        <v>0</v>
      </c>
      <c r="I2305" s="514">
        <v>0</v>
      </c>
      <c r="J2305" s="514">
        <v>0</v>
      </c>
      <c r="K2305" s="514">
        <v>0</v>
      </c>
      <c r="L2305" s="514">
        <v>0</v>
      </c>
      <c r="M2305" s="514">
        <v>0</v>
      </c>
      <c r="N2305" s="514">
        <v>0</v>
      </c>
      <c r="O2305" s="499"/>
      <c r="P2305" s="499"/>
      <c r="Q2305" s="499"/>
    </row>
    <row r="2306" spans="1:17" ht="14.4" x14ac:dyDescent="0.3">
      <c r="A2306" s="502" t="s">
        <v>3679</v>
      </c>
      <c r="B2306" s="503" t="s">
        <v>3680</v>
      </c>
      <c r="C2306" s="514">
        <v>0</v>
      </c>
      <c r="D2306" s="514">
        <v>0</v>
      </c>
      <c r="E2306" s="514">
        <v>0</v>
      </c>
      <c r="F2306" s="514">
        <v>0</v>
      </c>
      <c r="G2306" s="514">
        <v>0</v>
      </c>
      <c r="H2306" s="514">
        <v>0</v>
      </c>
      <c r="I2306" s="514">
        <v>0</v>
      </c>
      <c r="J2306" s="514">
        <v>0</v>
      </c>
      <c r="K2306" s="514">
        <v>0</v>
      </c>
      <c r="L2306" s="514">
        <v>0</v>
      </c>
      <c r="M2306" s="514">
        <v>0</v>
      </c>
      <c r="N2306" s="514">
        <v>0</v>
      </c>
      <c r="O2306" s="499"/>
      <c r="P2306" s="499"/>
      <c r="Q2306" s="499"/>
    </row>
    <row r="2307" spans="1:17" ht="14.4" x14ac:dyDescent="0.3">
      <c r="A2307" s="502" t="s">
        <v>3681</v>
      </c>
      <c r="B2307" s="503" t="s">
        <v>3682</v>
      </c>
      <c r="C2307" s="514">
        <v>0</v>
      </c>
      <c r="D2307" s="514">
        <v>0</v>
      </c>
      <c r="E2307" s="514">
        <v>0</v>
      </c>
      <c r="F2307" s="514">
        <v>0</v>
      </c>
      <c r="G2307" s="514">
        <v>0</v>
      </c>
      <c r="H2307" s="514">
        <v>0</v>
      </c>
      <c r="I2307" s="514">
        <v>0</v>
      </c>
      <c r="J2307" s="514">
        <v>0</v>
      </c>
      <c r="K2307" s="514">
        <v>0</v>
      </c>
      <c r="L2307" s="514">
        <v>0</v>
      </c>
      <c r="M2307" s="514">
        <v>0</v>
      </c>
      <c r="N2307" s="514">
        <v>0</v>
      </c>
      <c r="O2307" s="499"/>
      <c r="P2307" s="499"/>
      <c r="Q2307" s="499"/>
    </row>
    <row r="2308" spans="1:17" ht="14.4" x14ac:dyDescent="0.3">
      <c r="A2308" s="502" t="s">
        <v>3683</v>
      </c>
      <c r="B2308" s="503" t="s">
        <v>3684</v>
      </c>
      <c r="C2308" s="514">
        <v>0</v>
      </c>
      <c r="D2308" s="514">
        <v>0</v>
      </c>
      <c r="E2308" s="514">
        <v>0</v>
      </c>
      <c r="F2308" s="514">
        <v>0</v>
      </c>
      <c r="G2308" s="514">
        <v>0</v>
      </c>
      <c r="H2308" s="514">
        <v>0</v>
      </c>
      <c r="I2308" s="514">
        <v>0</v>
      </c>
      <c r="J2308" s="514">
        <v>0</v>
      </c>
      <c r="K2308" s="514">
        <v>0</v>
      </c>
      <c r="L2308" s="514">
        <v>0</v>
      </c>
      <c r="M2308" s="514">
        <v>0</v>
      </c>
      <c r="N2308" s="514">
        <v>0</v>
      </c>
      <c r="O2308" s="499"/>
      <c r="P2308" s="499"/>
      <c r="Q2308" s="499"/>
    </row>
    <row r="2309" spans="1:17" ht="14.4" x14ac:dyDescent="0.3">
      <c r="A2309" s="502" t="s">
        <v>3685</v>
      </c>
      <c r="B2309" s="503" t="s">
        <v>3686</v>
      </c>
      <c r="C2309" s="514">
        <v>0</v>
      </c>
      <c r="D2309" s="514">
        <v>0</v>
      </c>
      <c r="E2309" s="514">
        <v>0</v>
      </c>
      <c r="F2309" s="514">
        <v>0</v>
      </c>
      <c r="G2309" s="514">
        <v>0</v>
      </c>
      <c r="H2309" s="514">
        <v>0</v>
      </c>
      <c r="I2309" s="514">
        <v>0</v>
      </c>
      <c r="J2309" s="514">
        <v>0</v>
      </c>
      <c r="K2309" s="514">
        <v>0</v>
      </c>
      <c r="L2309" s="514">
        <v>0</v>
      </c>
      <c r="M2309" s="514">
        <v>0</v>
      </c>
      <c r="N2309" s="514">
        <v>0</v>
      </c>
      <c r="O2309" s="499"/>
      <c r="P2309" s="499"/>
      <c r="Q2309" s="499"/>
    </row>
    <row r="2310" spans="1:17" ht="14.4" x14ac:dyDescent="0.3">
      <c r="A2310" s="502" t="s">
        <v>3687</v>
      </c>
      <c r="B2310" s="503" t="s">
        <v>3688</v>
      </c>
      <c r="C2310" s="514">
        <v>0</v>
      </c>
      <c r="D2310" s="514">
        <v>0</v>
      </c>
      <c r="E2310" s="514">
        <v>0</v>
      </c>
      <c r="F2310" s="514">
        <v>0</v>
      </c>
      <c r="G2310" s="514">
        <v>0</v>
      </c>
      <c r="H2310" s="514">
        <v>0</v>
      </c>
      <c r="I2310" s="514">
        <v>0</v>
      </c>
      <c r="J2310" s="514">
        <v>0</v>
      </c>
      <c r="K2310" s="514">
        <v>0</v>
      </c>
      <c r="L2310" s="514">
        <v>0</v>
      </c>
      <c r="M2310" s="514">
        <v>0</v>
      </c>
      <c r="N2310" s="514">
        <v>0</v>
      </c>
      <c r="O2310" s="499"/>
      <c r="P2310" s="499"/>
      <c r="Q2310" s="499"/>
    </row>
    <row r="2311" spans="1:17" ht="14.4" x14ac:dyDescent="0.3">
      <c r="A2311" s="502" t="s">
        <v>3689</v>
      </c>
      <c r="B2311" s="503" t="s">
        <v>3690</v>
      </c>
      <c r="C2311" s="514">
        <v>0</v>
      </c>
      <c r="D2311" s="514">
        <v>0</v>
      </c>
      <c r="E2311" s="514">
        <v>0</v>
      </c>
      <c r="F2311" s="514">
        <v>0</v>
      </c>
      <c r="G2311" s="514">
        <v>0</v>
      </c>
      <c r="H2311" s="514">
        <v>0</v>
      </c>
      <c r="I2311" s="514">
        <v>0</v>
      </c>
      <c r="J2311" s="514">
        <v>0</v>
      </c>
      <c r="K2311" s="514">
        <v>0</v>
      </c>
      <c r="L2311" s="514">
        <v>0</v>
      </c>
      <c r="M2311" s="514">
        <v>0</v>
      </c>
      <c r="N2311" s="514">
        <v>0</v>
      </c>
      <c r="O2311" s="499"/>
      <c r="P2311" s="499"/>
      <c r="Q2311" s="499"/>
    </row>
    <row r="2312" spans="1:17" ht="14.4" x14ac:dyDescent="0.3">
      <c r="A2312" s="502" t="s">
        <v>3691</v>
      </c>
      <c r="B2312" s="503" t="s">
        <v>3692</v>
      </c>
      <c r="C2312" s="514">
        <v>0</v>
      </c>
      <c r="D2312" s="514">
        <v>0</v>
      </c>
      <c r="E2312" s="514">
        <v>0</v>
      </c>
      <c r="F2312" s="514">
        <v>0</v>
      </c>
      <c r="G2312" s="514">
        <v>0</v>
      </c>
      <c r="H2312" s="514">
        <v>0</v>
      </c>
      <c r="I2312" s="514">
        <v>0</v>
      </c>
      <c r="J2312" s="514">
        <v>0</v>
      </c>
      <c r="K2312" s="514">
        <v>0</v>
      </c>
      <c r="L2312" s="514">
        <v>0</v>
      </c>
      <c r="M2312" s="514">
        <v>0</v>
      </c>
      <c r="N2312" s="514">
        <v>0</v>
      </c>
      <c r="O2312" s="499"/>
      <c r="P2312" s="499"/>
      <c r="Q2312" s="499"/>
    </row>
    <row r="2313" spans="1:17" ht="14.4" x14ac:dyDescent="0.3">
      <c r="A2313" s="502" t="s">
        <v>3693</v>
      </c>
      <c r="B2313" s="503" t="s">
        <v>3694</v>
      </c>
      <c r="C2313" s="514">
        <v>0</v>
      </c>
      <c r="D2313" s="514">
        <v>0</v>
      </c>
      <c r="E2313" s="514">
        <v>0</v>
      </c>
      <c r="F2313" s="514">
        <v>0</v>
      </c>
      <c r="G2313" s="514">
        <v>0</v>
      </c>
      <c r="H2313" s="514">
        <v>0</v>
      </c>
      <c r="I2313" s="514">
        <v>0</v>
      </c>
      <c r="J2313" s="514">
        <v>0</v>
      </c>
      <c r="K2313" s="514">
        <v>0</v>
      </c>
      <c r="L2313" s="514">
        <v>0</v>
      </c>
      <c r="M2313" s="514">
        <v>0</v>
      </c>
      <c r="N2313" s="514">
        <v>0</v>
      </c>
      <c r="O2313" s="499"/>
      <c r="P2313" s="499"/>
      <c r="Q2313" s="499"/>
    </row>
    <row r="2314" spans="1:17" ht="14.4" x14ac:dyDescent="0.3">
      <c r="A2314" s="502" t="s">
        <v>3695</v>
      </c>
      <c r="B2314" s="503" t="s">
        <v>3696</v>
      </c>
      <c r="C2314" s="514">
        <v>0</v>
      </c>
      <c r="D2314" s="514">
        <v>0</v>
      </c>
      <c r="E2314" s="514">
        <v>0</v>
      </c>
      <c r="F2314" s="514">
        <v>0</v>
      </c>
      <c r="G2314" s="514">
        <v>0</v>
      </c>
      <c r="H2314" s="514">
        <v>0</v>
      </c>
      <c r="I2314" s="514">
        <v>0</v>
      </c>
      <c r="J2314" s="514">
        <v>0</v>
      </c>
      <c r="K2314" s="514">
        <v>0</v>
      </c>
      <c r="L2314" s="514">
        <v>0</v>
      </c>
      <c r="M2314" s="514">
        <v>0</v>
      </c>
      <c r="N2314" s="514">
        <v>0</v>
      </c>
      <c r="O2314" s="499"/>
      <c r="P2314" s="499"/>
      <c r="Q2314" s="499"/>
    </row>
    <row r="2315" spans="1:17" ht="14.4" x14ac:dyDescent="0.3">
      <c r="A2315" s="502" t="s">
        <v>3697</v>
      </c>
      <c r="B2315" s="503" t="s">
        <v>3698</v>
      </c>
      <c r="C2315" s="514">
        <v>0</v>
      </c>
      <c r="D2315" s="514">
        <v>0</v>
      </c>
      <c r="E2315" s="514">
        <v>0</v>
      </c>
      <c r="F2315" s="514">
        <v>0</v>
      </c>
      <c r="G2315" s="514">
        <v>0</v>
      </c>
      <c r="H2315" s="514">
        <v>0</v>
      </c>
      <c r="I2315" s="514">
        <v>0</v>
      </c>
      <c r="J2315" s="514">
        <v>0</v>
      </c>
      <c r="K2315" s="514">
        <v>0</v>
      </c>
      <c r="L2315" s="514">
        <v>0</v>
      </c>
      <c r="M2315" s="514">
        <v>0</v>
      </c>
      <c r="N2315" s="514">
        <v>0</v>
      </c>
      <c r="O2315" s="499"/>
      <c r="P2315" s="499"/>
      <c r="Q2315" s="499"/>
    </row>
    <row r="2316" spans="1:17" ht="14.4" x14ac:dyDescent="0.3">
      <c r="A2316" s="502" t="s">
        <v>3699</v>
      </c>
      <c r="B2316" s="503" t="s">
        <v>3700</v>
      </c>
      <c r="C2316" s="514">
        <v>0</v>
      </c>
      <c r="D2316" s="514">
        <v>0</v>
      </c>
      <c r="E2316" s="514">
        <v>0</v>
      </c>
      <c r="F2316" s="514">
        <v>0</v>
      </c>
      <c r="G2316" s="514">
        <v>0</v>
      </c>
      <c r="H2316" s="514">
        <v>0</v>
      </c>
      <c r="I2316" s="514">
        <v>0</v>
      </c>
      <c r="J2316" s="514">
        <v>0</v>
      </c>
      <c r="K2316" s="514">
        <v>0</v>
      </c>
      <c r="L2316" s="514">
        <v>0</v>
      </c>
      <c r="M2316" s="514">
        <v>0</v>
      </c>
      <c r="N2316" s="514">
        <v>0</v>
      </c>
      <c r="O2316" s="499"/>
      <c r="P2316" s="499"/>
      <c r="Q2316" s="499"/>
    </row>
    <row r="2317" spans="1:17" ht="14.4" x14ac:dyDescent="0.3">
      <c r="A2317" s="502" t="s">
        <v>3701</v>
      </c>
      <c r="B2317" s="503" t="s">
        <v>3702</v>
      </c>
      <c r="C2317" s="514">
        <v>0</v>
      </c>
      <c r="D2317" s="514">
        <v>0</v>
      </c>
      <c r="E2317" s="514">
        <v>0</v>
      </c>
      <c r="F2317" s="514">
        <v>0</v>
      </c>
      <c r="G2317" s="514">
        <v>0</v>
      </c>
      <c r="H2317" s="514">
        <v>0</v>
      </c>
      <c r="I2317" s="514">
        <v>0</v>
      </c>
      <c r="J2317" s="514">
        <v>0</v>
      </c>
      <c r="K2317" s="514">
        <v>0</v>
      </c>
      <c r="L2317" s="514">
        <v>0</v>
      </c>
      <c r="M2317" s="514">
        <v>0</v>
      </c>
      <c r="N2317" s="514">
        <v>0</v>
      </c>
      <c r="O2317" s="499"/>
      <c r="P2317" s="499"/>
      <c r="Q2317" s="499"/>
    </row>
    <row r="2318" spans="1:17" ht="14.4" x14ac:dyDescent="0.3">
      <c r="A2318" s="502" t="s">
        <v>3703</v>
      </c>
      <c r="B2318" s="503" t="s">
        <v>3704</v>
      </c>
      <c r="C2318" s="514">
        <v>0</v>
      </c>
      <c r="D2318" s="514">
        <v>0</v>
      </c>
      <c r="E2318" s="514">
        <v>0</v>
      </c>
      <c r="F2318" s="514">
        <v>0</v>
      </c>
      <c r="G2318" s="514">
        <v>0</v>
      </c>
      <c r="H2318" s="514">
        <v>0</v>
      </c>
      <c r="I2318" s="514">
        <v>0</v>
      </c>
      <c r="J2318" s="514">
        <v>0</v>
      </c>
      <c r="K2318" s="514">
        <v>0</v>
      </c>
      <c r="L2318" s="514">
        <v>0</v>
      </c>
      <c r="M2318" s="514">
        <v>0</v>
      </c>
      <c r="N2318" s="514">
        <v>0</v>
      </c>
      <c r="O2318" s="499"/>
      <c r="P2318" s="499"/>
      <c r="Q2318" s="499"/>
    </row>
    <row r="2319" spans="1:17" ht="14.4" x14ac:dyDescent="0.3">
      <c r="A2319" s="502" t="s">
        <v>3705</v>
      </c>
      <c r="B2319" s="503" t="s">
        <v>3706</v>
      </c>
      <c r="C2319" s="514">
        <v>0</v>
      </c>
      <c r="D2319" s="514">
        <v>0</v>
      </c>
      <c r="E2319" s="514">
        <v>0</v>
      </c>
      <c r="F2319" s="514">
        <v>0</v>
      </c>
      <c r="G2319" s="514">
        <v>0</v>
      </c>
      <c r="H2319" s="514">
        <v>0</v>
      </c>
      <c r="I2319" s="514">
        <v>0</v>
      </c>
      <c r="J2319" s="514">
        <v>0</v>
      </c>
      <c r="K2319" s="514">
        <v>0</v>
      </c>
      <c r="L2319" s="514">
        <v>0</v>
      </c>
      <c r="M2319" s="514">
        <v>0</v>
      </c>
      <c r="N2319" s="514">
        <v>0</v>
      </c>
      <c r="O2319" s="499"/>
      <c r="P2319" s="499"/>
      <c r="Q2319" s="499"/>
    </row>
    <row r="2320" spans="1:17" ht="14.4" x14ac:dyDescent="0.3">
      <c r="A2320" s="502" t="s">
        <v>3707</v>
      </c>
      <c r="B2320" s="503" t="s">
        <v>3708</v>
      </c>
      <c r="C2320" s="514">
        <v>0</v>
      </c>
      <c r="D2320" s="514">
        <v>0</v>
      </c>
      <c r="E2320" s="514">
        <v>0</v>
      </c>
      <c r="F2320" s="514">
        <v>0</v>
      </c>
      <c r="G2320" s="514">
        <v>0</v>
      </c>
      <c r="H2320" s="514">
        <v>0</v>
      </c>
      <c r="I2320" s="514">
        <v>0</v>
      </c>
      <c r="J2320" s="514">
        <v>0</v>
      </c>
      <c r="K2320" s="514">
        <v>0</v>
      </c>
      <c r="L2320" s="514">
        <v>0</v>
      </c>
      <c r="M2320" s="514">
        <v>0</v>
      </c>
      <c r="N2320" s="514">
        <v>0</v>
      </c>
      <c r="O2320" s="499"/>
      <c r="P2320" s="499"/>
      <c r="Q2320" s="499"/>
    </row>
    <row r="2321" spans="1:17" ht="14.4" x14ac:dyDescent="0.3">
      <c r="A2321" s="502" t="s">
        <v>3709</v>
      </c>
      <c r="B2321" s="503" t="s">
        <v>1370</v>
      </c>
      <c r="C2321" s="514">
        <v>0</v>
      </c>
      <c r="D2321" s="514">
        <v>0</v>
      </c>
      <c r="E2321" s="514">
        <v>0</v>
      </c>
      <c r="F2321" s="514">
        <v>0</v>
      </c>
      <c r="G2321" s="514">
        <v>0</v>
      </c>
      <c r="H2321" s="514">
        <v>0</v>
      </c>
      <c r="I2321" s="514">
        <v>0</v>
      </c>
      <c r="J2321" s="514">
        <v>0</v>
      </c>
      <c r="K2321" s="514">
        <v>0</v>
      </c>
      <c r="L2321" s="514">
        <v>0</v>
      </c>
      <c r="M2321" s="514">
        <v>0</v>
      </c>
      <c r="N2321" s="514">
        <v>0</v>
      </c>
      <c r="O2321" s="499"/>
      <c r="P2321" s="499"/>
      <c r="Q2321" s="499"/>
    </row>
    <row r="2322" spans="1:17" ht="14.4" x14ac:dyDescent="0.3">
      <c r="A2322" s="502" t="s">
        <v>3710</v>
      </c>
      <c r="B2322" s="503" t="s">
        <v>834</v>
      </c>
      <c r="C2322" s="514">
        <v>7792591.5999999996</v>
      </c>
      <c r="D2322" s="514">
        <v>7132989.9000000004</v>
      </c>
      <c r="E2322" s="514">
        <v>7196698.0700000003</v>
      </c>
      <c r="F2322" s="514">
        <v>7635243.4299999997</v>
      </c>
      <c r="G2322" s="514">
        <v>7961844.4900000002</v>
      </c>
      <c r="H2322" s="514">
        <v>6960725.7199999997</v>
      </c>
      <c r="I2322" s="514">
        <v>8043376.5199999996</v>
      </c>
      <c r="J2322" s="514">
        <v>7698613.4800000004</v>
      </c>
      <c r="K2322" s="514">
        <v>7362199.7400000002</v>
      </c>
      <c r="L2322" s="514">
        <v>8089216.9100000001</v>
      </c>
      <c r="M2322" s="514">
        <v>7364773.6299999999</v>
      </c>
      <c r="N2322" s="514">
        <v>7724693.6500000004</v>
      </c>
      <c r="O2322" s="499"/>
      <c r="P2322" s="499"/>
      <c r="Q2322" s="499"/>
    </row>
    <row r="2323" spans="1:17" ht="14.4" x14ac:dyDescent="0.3">
      <c r="A2323" s="502" t="s">
        <v>3711</v>
      </c>
      <c r="B2323" s="503" t="s">
        <v>3712</v>
      </c>
      <c r="C2323" s="514">
        <v>0</v>
      </c>
      <c r="D2323" s="514">
        <v>0</v>
      </c>
      <c r="E2323" s="514">
        <v>0</v>
      </c>
      <c r="F2323" s="514">
        <v>0</v>
      </c>
      <c r="G2323" s="514">
        <v>0</v>
      </c>
      <c r="H2323" s="514">
        <v>0</v>
      </c>
      <c r="I2323" s="514">
        <v>0</v>
      </c>
      <c r="J2323" s="514">
        <v>0</v>
      </c>
      <c r="K2323" s="514">
        <v>0</v>
      </c>
      <c r="L2323" s="514">
        <v>0</v>
      </c>
      <c r="M2323" s="514">
        <v>0</v>
      </c>
      <c r="N2323" s="514">
        <v>0</v>
      </c>
      <c r="O2323" s="499"/>
      <c r="P2323" s="499"/>
      <c r="Q2323" s="499"/>
    </row>
    <row r="2324" spans="1:17" ht="14.4" x14ac:dyDescent="0.3">
      <c r="A2324" s="502" t="s">
        <v>3713</v>
      </c>
      <c r="B2324" s="503" t="s">
        <v>3714</v>
      </c>
      <c r="C2324" s="514">
        <v>0</v>
      </c>
      <c r="D2324" s="514">
        <v>0</v>
      </c>
      <c r="E2324" s="514">
        <v>0</v>
      </c>
      <c r="F2324" s="514">
        <v>0</v>
      </c>
      <c r="G2324" s="514">
        <v>0</v>
      </c>
      <c r="H2324" s="514">
        <v>0</v>
      </c>
      <c r="I2324" s="514">
        <v>0</v>
      </c>
      <c r="J2324" s="514">
        <v>0</v>
      </c>
      <c r="K2324" s="514">
        <v>0</v>
      </c>
      <c r="L2324" s="514">
        <v>0</v>
      </c>
      <c r="M2324" s="514">
        <v>0</v>
      </c>
      <c r="N2324" s="514">
        <v>0</v>
      </c>
      <c r="O2324" s="499"/>
      <c r="P2324" s="499"/>
      <c r="Q2324" s="499"/>
    </row>
    <row r="2325" spans="1:17" ht="14.4" x14ac:dyDescent="0.3">
      <c r="A2325" s="502" t="s">
        <v>3715</v>
      </c>
      <c r="B2325" s="503" t="s">
        <v>3716</v>
      </c>
      <c r="C2325" s="514">
        <v>0</v>
      </c>
      <c r="D2325" s="514">
        <v>0</v>
      </c>
      <c r="E2325" s="514">
        <v>0</v>
      </c>
      <c r="F2325" s="514">
        <v>0</v>
      </c>
      <c r="G2325" s="514">
        <v>0</v>
      </c>
      <c r="H2325" s="514">
        <v>0</v>
      </c>
      <c r="I2325" s="514">
        <v>0</v>
      </c>
      <c r="J2325" s="514">
        <v>0</v>
      </c>
      <c r="K2325" s="514">
        <v>0</v>
      </c>
      <c r="L2325" s="514">
        <v>0</v>
      </c>
      <c r="M2325" s="514">
        <v>0</v>
      </c>
      <c r="N2325" s="514">
        <v>0</v>
      </c>
      <c r="O2325" s="499"/>
      <c r="P2325" s="499"/>
      <c r="Q2325" s="499"/>
    </row>
    <row r="2326" spans="1:17" ht="14.4" x14ac:dyDescent="0.3">
      <c r="A2326" s="502" t="s">
        <v>3717</v>
      </c>
      <c r="B2326" s="503" t="s">
        <v>3718</v>
      </c>
      <c r="C2326" s="514">
        <v>0</v>
      </c>
      <c r="D2326" s="514">
        <v>0</v>
      </c>
      <c r="E2326" s="514">
        <v>0</v>
      </c>
      <c r="F2326" s="514">
        <v>0</v>
      </c>
      <c r="G2326" s="514">
        <v>0</v>
      </c>
      <c r="H2326" s="514">
        <v>0</v>
      </c>
      <c r="I2326" s="514">
        <v>0</v>
      </c>
      <c r="J2326" s="514">
        <v>0</v>
      </c>
      <c r="K2326" s="514">
        <v>0</v>
      </c>
      <c r="L2326" s="514">
        <v>0</v>
      </c>
      <c r="M2326" s="514">
        <v>0</v>
      </c>
      <c r="N2326" s="514">
        <v>0</v>
      </c>
      <c r="O2326" s="499"/>
      <c r="P2326" s="499"/>
      <c r="Q2326" s="499"/>
    </row>
    <row r="2327" spans="1:17" ht="14.4" x14ac:dyDescent="0.3">
      <c r="A2327" s="502" t="s">
        <v>3719</v>
      </c>
      <c r="B2327" s="503" t="s">
        <v>3720</v>
      </c>
      <c r="C2327" s="514">
        <v>0</v>
      </c>
      <c r="D2327" s="514">
        <v>0</v>
      </c>
      <c r="E2327" s="514">
        <v>0</v>
      </c>
      <c r="F2327" s="514">
        <v>0</v>
      </c>
      <c r="G2327" s="514">
        <v>0</v>
      </c>
      <c r="H2327" s="514">
        <v>0</v>
      </c>
      <c r="I2327" s="514">
        <v>0</v>
      </c>
      <c r="J2327" s="514">
        <v>0</v>
      </c>
      <c r="K2327" s="514">
        <v>0</v>
      </c>
      <c r="L2327" s="514">
        <v>0</v>
      </c>
      <c r="M2327" s="514">
        <v>0</v>
      </c>
      <c r="N2327" s="514">
        <v>0</v>
      </c>
      <c r="O2327" s="499"/>
      <c r="P2327" s="499"/>
      <c r="Q2327" s="499"/>
    </row>
    <row r="2328" spans="1:17" ht="14.4" x14ac:dyDescent="0.3">
      <c r="A2328" s="502" t="s">
        <v>3721</v>
      </c>
      <c r="B2328" s="503" t="s">
        <v>3722</v>
      </c>
      <c r="C2328" s="514">
        <v>0</v>
      </c>
      <c r="D2328" s="514">
        <v>0</v>
      </c>
      <c r="E2328" s="514">
        <v>0</v>
      </c>
      <c r="F2328" s="514">
        <v>0</v>
      </c>
      <c r="G2328" s="514">
        <v>0</v>
      </c>
      <c r="H2328" s="514">
        <v>0</v>
      </c>
      <c r="I2328" s="514">
        <v>0</v>
      </c>
      <c r="J2328" s="514">
        <v>0</v>
      </c>
      <c r="K2328" s="514">
        <v>0</v>
      </c>
      <c r="L2328" s="514">
        <v>0</v>
      </c>
      <c r="M2328" s="514">
        <v>0</v>
      </c>
      <c r="N2328" s="514">
        <v>0</v>
      </c>
      <c r="O2328" s="499"/>
      <c r="P2328" s="499"/>
      <c r="Q2328" s="499"/>
    </row>
    <row r="2329" spans="1:17" ht="14.4" x14ac:dyDescent="0.3">
      <c r="A2329" s="502" t="s">
        <v>3723</v>
      </c>
      <c r="B2329" s="503" t="s">
        <v>3724</v>
      </c>
      <c r="C2329" s="514">
        <v>0</v>
      </c>
      <c r="D2329" s="514">
        <v>0</v>
      </c>
      <c r="E2329" s="514">
        <v>0</v>
      </c>
      <c r="F2329" s="514">
        <v>0</v>
      </c>
      <c r="G2329" s="514">
        <v>0</v>
      </c>
      <c r="H2329" s="514">
        <v>0</v>
      </c>
      <c r="I2329" s="514">
        <v>0</v>
      </c>
      <c r="J2329" s="514">
        <v>0</v>
      </c>
      <c r="K2329" s="514">
        <v>0</v>
      </c>
      <c r="L2329" s="514">
        <v>0</v>
      </c>
      <c r="M2329" s="514">
        <v>0</v>
      </c>
      <c r="N2329" s="514">
        <v>0</v>
      </c>
      <c r="O2329" s="499"/>
      <c r="P2329" s="499"/>
      <c r="Q2329" s="499"/>
    </row>
    <row r="2330" spans="1:17" ht="14.4" x14ac:dyDescent="0.3">
      <c r="A2330" s="502" t="s">
        <v>3725</v>
      </c>
      <c r="B2330" s="503" t="s">
        <v>3726</v>
      </c>
      <c r="C2330" s="514">
        <v>0</v>
      </c>
      <c r="D2330" s="514">
        <v>0</v>
      </c>
      <c r="E2330" s="514">
        <v>0</v>
      </c>
      <c r="F2330" s="514">
        <v>0</v>
      </c>
      <c r="G2330" s="514">
        <v>0</v>
      </c>
      <c r="H2330" s="514">
        <v>0</v>
      </c>
      <c r="I2330" s="514">
        <v>0</v>
      </c>
      <c r="J2330" s="514">
        <v>0</v>
      </c>
      <c r="K2330" s="514">
        <v>0</v>
      </c>
      <c r="L2330" s="514">
        <v>0</v>
      </c>
      <c r="M2330" s="514">
        <v>0</v>
      </c>
      <c r="N2330" s="514">
        <v>0</v>
      </c>
      <c r="O2330" s="499"/>
      <c r="P2330" s="499"/>
      <c r="Q2330" s="499"/>
    </row>
    <row r="2331" spans="1:17" ht="14.4" x14ac:dyDescent="0.3">
      <c r="A2331" s="502" t="s">
        <v>3727</v>
      </c>
      <c r="B2331" s="503" t="s">
        <v>3728</v>
      </c>
      <c r="C2331" s="514">
        <v>0</v>
      </c>
      <c r="D2331" s="514">
        <v>0</v>
      </c>
      <c r="E2331" s="514">
        <v>0</v>
      </c>
      <c r="F2331" s="514">
        <v>0</v>
      </c>
      <c r="G2331" s="514">
        <v>0</v>
      </c>
      <c r="H2331" s="514">
        <v>0</v>
      </c>
      <c r="I2331" s="514">
        <v>0</v>
      </c>
      <c r="J2331" s="514">
        <v>0</v>
      </c>
      <c r="K2331" s="514">
        <v>0</v>
      </c>
      <c r="L2331" s="514">
        <v>0</v>
      </c>
      <c r="M2331" s="514">
        <v>0</v>
      </c>
      <c r="N2331" s="514">
        <v>0</v>
      </c>
      <c r="O2331" s="499"/>
      <c r="P2331" s="499"/>
      <c r="Q2331" s="499"/>
    </row>
    <row r="2332" spans="1:17" ht="14.4" x14ac:dyDescent="0.3">
      <c r="A2332" s="502" t="s">
        <v>3729</v>
      </c>
      <c r="B2332" s="503" t="s">
        <v>3730</v>
      </c>
      <c r="C2332" s="514">
        <v>0</v>
      </c>
      <c r="D2332" s="514">
        <v>0</v>
      </c>
      <c r="E2332" s="514">
        <v>0</v>
      </c>
      <c r="F2332" s="514">
        <v>0</v>
      </c>
      <c r="G2332" s="514">
        <v>0</v>
      </c>
      <c r="H2332" s="514">
        <v>0</v>
      </c>
      <c r="I2332" s="514">
        <v>0</v>
      </c>
      <c r="J2332" s="514">
        <v>0</v>
      </c>
      <c r="K2332" s="514">
        <v>0</v>
      </c>
      <c r="L2332" s="514">
        <v>0</v>
      </c>
      <c r="M2332" s="514">
        <v>0</v>
      </c>
      <c r="N2332" s="514">
        <v>0</v>
      </c>
      <c r="O2332" s="499"/>
      <c r="P2332" s="499"/>
      <c r="Q2332" s="499"/>
    </row>
    <row r="2333" spans="1:17" ht="14.4" x14ac:dyDescent="0.3">
      <c r="A2333" s="502" t="s">
        <v>3731</v>
      </c>
      <c r="B2333" s="503" t="s">
        <v>3732</v>
      </c>
      <c r="C2333" s="514">
        <v>0</v>
      </c>
      <c r="D2333" s="514">
        <v>0</v>
      </c>
      <c r="E2333" s="514">
        <v>0</v>
      </c>
      <c r="F2333" s="514">
        <v>0</v>
      </c>
      <c r="G2333" s="514">
        <v>0</v>
      </c>
      <c r="H2333" s="514">
        <v>0</v>
      </c>
      <c r="I2333" s="514">
        <v>0</v>
      </c>
      <c r="J2333" s="514">
        <v>0</v>
      </c>
      <c r="K2333" s="514">
        <v>0</v>
      </c>
      <c r="L2333" s="514">
        <v>0</v>
      </c>
      <c r="M2333" s="514">
        <v>0</v>
      </c>
      <c r="N2333" s="514">
        <v>0</v>
      </c>
      <c r="O2333" s="499"/>
      <c r="P2333" s="499"/>
      <c r="Q2333" s="499"/>
    </row>
    <row r="2334" spans="1:17" ht="14.4" x14ac:dyDescent="0.3">
      <c r="A2334" s="502" t="s">
        <v>3733</v>
      </c>
      <c r="B2334" s="503" t="s">
        <v>2852</v>
      </c>
      <c r="C2334" s="514">
        <v>0</v>
      </c>
      <c r="D2334" s="514">
        <v>0</v>
      </c>
      <c r="E2334" s="514">
        <v>0</v>
      </c>
      <c r="F2334" s="514">
        <v>0</v>
      </c>
      <c r="G2334" s="514">
        <v>0</v>
      </c>
      <c r="H2334" s="514">
        <v>0</v>
      </c>
      <c r="I2334" s="514">
        <v>0</v>
      </c>
      <c r="J2334" s="514">
        <v>0</v>
      </c>
      <c r="K2334" s="514">
        <v>0</v>
      </c>
      <c r="L2334" s="514">
        <v>0</v>
      </c>
      <c r="M2334" s="514">
        <v>0</v>
      </c>
      <c r="N2334" s="514">
        <v>0</v>
      </c>
      <c r="O2334" s="499"/>
      <c r="P2334" s="499"/>
      <c r="Q2334" s="499"/>
    </row>
    <row r="2335" spans="1:17" ht="14.4" x14ac:dyDescent="0.3">
      <c r="A2335" s="502" t="s">
        <v>3734</v>
      </c>
      <c r="B2335" s="503" t="s">
        <v>3735</v>
      </c>
      <c r="C2335" s="514">
        <v>0</v>
      </c>
      <c r="D2335" s="514">
        <v>0</v>
      </c>
      <c r="E2335" s="514">
        <v>0</v>
      </c>
      <c r="F2335" s="514">
        <v>0</v>
      </c>
      <c r="G2335" s="514">
        <v>0</v>
      </c>
      <c r="H2335" s="514">
        <v>0</v>
      </c>
      <c r="I2335" s="514">
        <v>0</v>
      </c>
      <c r="J2335" s="514">
        <v>0</v>
      </c>
      <c r="K2335" s="514">
        <v>0</v>
      </c>
      <c r="L2335" s="514">
        <v>0</v>
      </c>
      <c r="M2335" s="514">
        <v>0</v>
      </c>
      <c r="N2335" s="514">
        <v>0</v>
      </c>
      <c r="O2335" s="499"/>
      <c r="P2335" s="499"/>
      <c r="Q2335" s="499"/>
    </row>
    <row r="2336" spans="1:17" ht="14.4" x14ac:dyDescent="0.3">
      <c r="A2336" s="502" t="s">
        <v>3736</v>
      </c>
      <c r="B2336" s="503" t="s">
        <v>3737</v>
      </c>
      <c r="C2336" s="514">
        <v>0</v>
      </c>
      <c r="D2336" s="514">
        <v>0</v>
      </c>
      <c r="E2336" s="514">
        <v>0</v>
      </c>
      <c r="F2336" s="514">
        <v>0</v>
      </c>
      <c r="G2336" s="514">
        <v>0</v>
      </c>
      <c r="H2336" s="514">
        <v>0</v>
      </c>
      <c r="I2336" s="514">
        <v>0</v>
      </c>
      <c r="J2336" s="514">
        <v>0</v>
      </c>
      <c r="K2336" s="514">
        <v>0</v>
      </c>
      <c r="L2336" s="514">
        <v>0</v>
      </c>
      <c r="M2336" s="514">
        <v>0</v>
      </c>
      <c r="N2336" s="514">
        <v>0</v>
      </c>
      <c r="O2336" s="499"/>
      <c r="P2336" s="499"/>
      <c r="Q2336" s="499"/>
    </row>
    <row r="2337" spans="1:17" ht="14.4" x14ac:dyDescent="0.3">
      <c r="A2337" s="502" t="s">
        <v>3738</v>
      </c>
      <c r="B2337" s="503" t="s">
        <v>3739</v>
      </c>
      <c r="C2337" s="514">
        <v>0</v>
      </c>
      <c r="D2337" s="514">
        <v>0</v>
      </c>
      <c r="E2337" s="514">
        <v>0</v>
      </c>
      <c r="F2337" s="514">
        <v>0</v>
      </c>
      <c r="G2337" s="514">
        <v>0</v>
      </c>
      <c r="H2337" s="514">
        <v>0</v>
      </c>
      <c r="I2337" s="514">
        <v>0</v>
      </c>
      <c r="J2337" s="514">
        <v>0</v>
      </c>
      <c r="K2337" s="514">
        <v>0</v>
      </c>
      <c r="L2337" s="514">
        <v>0</v>
      </c>
      <c r="M2337" s="514">
        <v>0</v>
      </c>
      <c r="N2337" s="514">
        <v>0</v>
      </c>
      <c r="O2337" s="499"/>
      <c r="P2337" s="499"/>
      <c r="Q2337" s="499"/>
    </row>
    <row r="2338" spans="1:17" ht="14.4" x14ac:dyDescent="0.3">
      <c r="A2338" s="502" t="s">
        <v>3740</v>
      </c>
      <c r="B2338" s="503" t="s">
        <v>3741</v>
      </c>
      <c r="C2338" s="514">
        <v>0</v>
      </c>
      <c r="D2338" s="514">
        <v>0</v>
      </c>
      <c r="E2338" s="514">
        <v>0</v>
      </c>
      <c r="F2338" s="514">
        <v>0</v>
      </c>
      <c r="G2338" s="514">
        <v>0</v>
      </c>
      <c r="H2338" s="514">
        <v>0</v>
      </c>
      <c r="I2338" s="514">
        <v>0</v>
      </c>
      <c r="J2338" s="514">
        <v>0</v>
      </c>
      <c r="K2338" s="514">
        <v>0</v>
      </c>
      <c r="L2338" s="514">
        <v>0</v>
      </c>
      <c r="M2338" s="514">
        <v>0</v>
      </c>
      <c r="N2338" s="514">
        <v>0</v>
      </c>
      <c r="O2338" s="499"/>
      <c r="P2338" s="499"/>
      <c r="Q2338" s="499"/>
    </row>
    <row r="2339" spans="1:17" ht="14.4" x14ac:dyDescent="0.3">
      <c r="A2339" s="502" t="s">
        <v>3742</v>
      </c>
      <c r="B2339" s="503" t="s">
        <v>1372</v>
      </c>
      <c r="C2339" s="514">
        <v>453092.3</v>
      </c>
      <c r="D2339" s="514">
        <v>390410.1</v>
      </c>
      <c r="E2339" s="514">
        <v>559373.72</v>
      </c>
      <c r="F2339" s="514">
        <v>391562.25</v>
      </c>
      <c r="G2339" s="514">
        <v>422555.16</v>
      </c>
      <c r="H2339" s="514">
        <v>545271.57999999996</v>
      </c>
      <c r="I2339" s="514">
        <v>426801.45</v>
      </c>
      <c r="J2339" s="514">
        <v>391671.5</v>
      </c>
      <c r="K2339" s="514">
        <v>575629.53</v>
      </c>
      <c r="L2339" s="514">
        <v>400254.31</v>
      </c>
      <c r="M2339" s="514">
        <v>419562.75</v>
      </c>
      <c r="N2339" s="514">
        <v>558536.12</v>
      </c>
      <c r="O2339" s="499"/>
      <c r="P2339" s="499"/>
      <c r="Q2339" s="499"/>
    </row>
    <row r="2340" spans="1:17" ht="14.4" x14ac:dyDescent="0.3">
      <c r="A2340" s="502" t="s">
        <v>3743</v>
      </c>
      <c r="B2340" s="503" t="s">
        <v>3744</v>
      </c>
      <c r="C2340" s="514">
        <v>0</v>
      </c>
      <c r="D2340" s="514">
        <v>0</v>
      </c>
      <c r="E2340" s="514">
        <v>0</v>
      </c>
      <c r="F2340" s="514">
        <v>0</v>
      </c>
      <c r="G2340" s="514">
        <v>0</v>
      </c>
      <c r="H2340" s="514">
        <v>0</v>
      </c>
      <c r="I2340" s="514">
        <v>0</v>
      </c>
      <c r="J2340" s="514">
        <v>0</v>
      </c>
      <c r="K2340" s="514">
        <v>0</v>
      </c>
      <c r="L2340" s="514">
        <v>0</v>
      </c>
      <c r="M2340" s="514">
        <v>0</v>
      </c>
      <c r="N2340" s="514">
        <v>0</v>
      </c>
      <c r="O2340" s="499"/>
      <c r="P2340" s="499"/>
      <c r="Q2340" s="499"/>
    </row>
    <row r="2341" spans="1:17" ht="14.4" x14ac:dyDescent="0.3">
      <c r="A2341" s="502" t="s">
        <v>3745</v>
      </c>
      <c r="B2341" s="503" t="s">
        <v>3746</v>
      </c>
      <c r="C2341" s="514">
        <v>0</v>
      </c>
      <c r="D2341" s="514">
        <v>0</v>
      </c>
      <c r="E2341" s="514">
        <v>0</v>
      </c>
      <c r="F2341" s="514">
        <v>0</v>
      </c>
      <c r="G2341" s="514">
        <v>0</v>
      </c>
      <c r="H2341" s="514">
        <v>0</v>
      </c>
      <c r="I2341" s="514">
        <v>0</v>
      </c>
      <c r="J2341" s="514">
        <v>0</v>
      </c>
      <c r="K2341" s="514">
        <v>0</v>
      </c>
      <c r="L2341" s="514">
        <v>0</v>
      </c>
      <c r="M2341" s="514">
        <v>0</v>
      </c>
      <c r="N2341" s="514">
        <v>0</v>
      </c>
      <c r="O2341" s="499"/>
      <c r="P2341" s="499"/>
      <c r="Q2341" s="499"/>
    </row>
    <row r="2342" spans="1:17" ht="14.4" x14ac:dyDescent="0.3">
      <c r="A2342" s="502" t="s">
        <v>3747</v>
      </c>
      <c r="B2342" s="503" t="s">
        <v>1374</v>
      </c>
      <c r="C2342" s="514">
        <v>1071018.67</v>
      </c>
      <c r="D2342" s="514">
        <v>1008448.03</v>
      </c>
      <c r="E2342" s="514">
        <v>1085904.08</v>
      </c>
      <c r="F2342" s="514">
        <v>1164500.48</v>
      </c>
      <c r="G2342" s="514">
        <v>1096422.1399999999</v>
      </c>
      <c r="H2342" s="514">
        <v>1074106.1000000001</v>
      </c>
      <c r="I2342" s="514">
        <v>1162428.3899999999</v>
      </c>
      <c r="J2342" s="514">
        <v>1120116.69</v>
      </c>
      <c r="K2342" s="514">
        <v>1060052.3799999999</v>
      </c>
      <c r="L2342" s="514">
        <v>1093288.19</v>
      </c>
      <c r="M2342" s="514">
        <v>1061408.57</v>
      </c>
      <c r="N2342" s="514">
        <v>1113172.42</v>
      </c>
      <c r="O2342" s="499"/>
      <c r="P2342" s="499"/>
      <c r="Q2342" s="499"/>
    </row>
    <row r="2343" spans="1:17" ht="14.4" x14ac:dyDescent="0.3">
      <c r="A2343" s="502" t="s">
        <v>3748</v>
      </c>
      <c r="B2343" s="503" t="s">
        <v>1376</v>
      </c>
      <c r="C2343" s="514">
        <v>142040.24</v>
      </c>
      <c r="D2343" s="514">
        <v>142040.24</v>
      </c>
      <c r="E2343" s="514">
        <v>142040.24</v>
      </c>
      <c r="F2343" s="514">
        <v>142040.24</v>
      </c>
      <c r="G2343" s="514">
        <v>142040.24</v>
      </c>
      <c r="H2343" s="514">
        <v>142040.24</v>
      </c>
      <c r="I2343" s="514">
        <v>142040.24</v>
      </c>
      <c r="J2343" s="514">
        <v>142040.24</v>
      </c>
      <c r="K2343" s="514">
        <v>142040.24</v>
      </c>
      <c r="L2343" s="514">
        <v>142040.24</v>
      </c>
      <c r="M2343" s="514">
        <v>142040.24</v>
      </c>
      <c r="N2343" s="514">
        <v>142040.24</v>
      </c>
      <c r="O2343" s="499"/>
      <c r="P2343" s="499"/>
      <c r="Q2343" s="499"/>
    </row>
    <row r="2344" spans="1:17" ht="14.4" x14ac:dyDescent="0.3">
      <c r="A2344" s="502" t="s">
        <v>3749</v>
      </c>
      <c r="B2344" s="503" t="s">
        <v>1378</v>
      </c>
      <c r="C2344" s="514">
        <v>19000</v>
      </c>
      <c r="D2344" s="514">
        <v>19000</v>
      </c>
      <c r="E2344" s="514">
        <v>19000</v>
      </c>
      <c r="F2344" s="514">
        <v>19000</v>
      </c>
      <c r="G2344" s="514">
        <v>19000</v>
      </c>
      <c r="H2344" s="514">
        <v>19000</v>
      </c>
      <c r="I2344" s="514">
        <v>19000</v>
      </c>
      <c r="J2344" s="514">
        <v>19000</v>
      </c>
      <c r="K2344" s="514">
        <v>19000</v>
      </c>
      <c r="L2344" s="514">
        <v>19000</v>
      </c>
      <c r="M2344" s="514">
        <v>19000</v>
      </c>
      <c r="N2344" s="514">
        <v>19000</v>
      </c>
      <c r="O2344" s="499"/>
      <c r="P2344" s="499"/>
      <c r="Q2344" s="499"/>
    </row>
    <row r="2345" spans="1:17" ht="14.4" x14ac:dyDescent="0.3">
      <c r="A2345" s="502" t="s">
        <v>3750</v>
      </c>
      <c r="B2345" s="503" t="s">
        <v>1380</v>
      </c>
      <c r="C2345" s="514">
        <v>90426.43</v>
      </c>
      <c r="D2345" s="514">
        <v>62010.02</v>
      </c>
      <c r="E2345" s="514">
        <v>67714.13</v>
      </c>
      <c r="F2345" s="514">
        <v>71460.13</v>
      </c>
      <c r="G2345" s="514">
        <v>71408.08</v>
      </c>
      <c r="H2345" s="514">
        <v>62945.02</v>
      </c>
      <c r="I2345" s="514">
        <v>73902.75</v>
      </c>
      <c r="J2345" s="514">
        <v>70254.84</v>
      </c>
      <c r="K2345" s="514">
        <v>72254.990000000005</v>
      </c>
      <c r="L2345" s="514">
        <v>81134.490000000005</v>
      </c>
      <c r="M2345" s="514">
        <v>66158.460000000006</v>
      </c>
      <c r="N2345" s="514">
        <v>67325.710000000006</v>
      </c>
      <c r="O2345" s="499"/>
      <c r="P2345" s="499"/>
      <c r="Q2345" s="499"/>
    </row>
    <row r="2346" spans="1:17" ht="14.4" x14ac:dyDescent="0.3">
      <c r="A2346" s="502" t="s">
        <v>3751</v>
      </c>
      <c r="B2346" s="503" t="s">
        <v>1382</v>
      </c>
      <c r="C2346" s="514">
        <v>41455.11</v>
      </c>
      <c r="D2346" s="514">
        <v>41455.11</v>
      </c>
      <c r="E2346" s="514">
        <v>41455.11</v>
      </c>
      <c r="F2346" s="514">
        <v>41455.11</v>
      </c>
      <c r="G2346" s="514">
        <v>41455.11</v>
      </c>
      <c r="H2346" s="514">
        <v>41455.11</v>
      </c>
      <c r="I2346" s="514">
        <v>41455.11</v>
      </c>
      <c r="J2346" s="514">
        <v>41455.11</v>
      </c>
      <c r="K2346" s="514">
        <v>41455.11</v>
      </c>
      <c r="L2346" s="514">
        <v>41455.11</v>
      </c>
      <c r="M2346" s="514">
        <v>41455.11</v>
      </c>
      <c r="N2346" s="514">
        <v>41455.11</v>
      </c>
      <c r="O2346" s="499"/>
      <c r="P2346" s="499"/>
      <c r="Q2346" s="499"/>
    </row>
    <row r="2347" spans="1:17" ht="14.4" x14ac:dyDescent="0.3">
      <c r="A2347" s="502" t="s">
        <v>3752</v>
      </c>
      <c r="B2347" s="503" t="s">
        <v>1384</v>
      </c>
      <c r="C2347" s="514">
        <v>32808.17</v>
      </c>
      <c r="D2347" s="514">
        <v>30270.46</v>
      </c>
      <c r="E2347" s="514">
        <v>30270.46</v>
      </c>
      <c r="F2347" s="514">
        <v>31539.32</v>
      </c>
      <c r="G2347" s="514">
        <v>32808.17</v>
      </c>
      <c r="H2347" s="514">
        <v>29001.599999999999</v>
      </c>
      <c r="I2347" s="514">
        <v>32844.97</v>
      </c>
      <c r="J2347" s="514">
        <v>31574.51</v>
      </c>
      <c r="K2347" s="514">
        <v>30304.06</v>
      </c>
      <c r="L2347" s="514">
        <v>32844.97</v>
      </c>
      <c r="M2347" s="514">
        <v>30304.06</v>
      </c>
      <c r="N2347" s="514">
        <v>31574.51</v>
      </c>
      <c r="O2347" s="499"/>
      <c r="P2347" s="499"/>
      <c r="Q2347" s="499"/>
    </row>
    <row r="2348" spans="1:17" ht="14.4" x14ac:dyDescent="0.3">
      <c r="A2348" s="502" t="s">
        <v>3753</v>
      </c>
      <c r="B2348" s="503" t="s">
        <v>3754</v>
      </c>
      <c r="C2348" s="514">
        <v>0</v>
      </c>
      <c r="D2348" s="514">
        <v>0</v>
      </c>
      <c r="E2348" s="514">
        <v>0</v>
      </c>
      <c r="F2348" s="514">
        <v>0</v>
      </c>
      <c r="G2348" s="514">
        <v>0</v>
      </c>
      <c r="H2348" s="514">
        <v>0</v>
      </c>
      <c r="I2348" s="514">
        <v>0</v>
      </c>
      <c r="J2348" s="514">
        <v>0</v>
      </c>
      <c r="K2348" s="514">
        <v>0</v>
      </c>
      <c r="L2348" s="514">
        <v>0</v>
      </c>
      <c r="M2348" s="514">
        <v>0</v>
      </c>
      <c r="N2348" s="514">
        <v>0</v>
      </c>
      <c r="O2348" s="499"/>
      <c r="P2348" s="499"/>
      <c r="Q2348" s="499"/>
    </row>
    <row r="2349" spans="1:17" ht="14.4" x14ac:dyDescent="0.3">
      <c r="A2349" s="502" t="s">
        <v>3755</v>
      </c>
      <c r="B2349" s="503" t="s">
        <v>3756</v>
      </c>
      <c r="C2349" s="514">
        <v>0</v>
      </c>
      <c r="D2349" s="514">
        <v>0</v>
      </c>
      <c r="E2349" s="514">
        <v>0</v>
      </c>
      <c r="F2349" s="514">
        <v>0</v>
      </c>
      <c r="G2349" s="514">
        <v>0</v>
      </c>
      <c r="H2349" s="514">
        <v>0</v>
      </c>
      <c r="I2349" s="514">
        <v>0</v>
      </c>
      <c r="J2349" s="514">
        <v>0</v>
      </c>
      <c r="K2349" s="514">
        <v>0</v>
      </c>
      <c r="L2349" s="514">
        <v>0</v>
      </c>
      <c r="M2349" s="514">
        <v>0</v>
      </c>
      <c r="N2349" s="514">
        <v>0</v>
      </c>
      <c r="O2349" s="499"/>
      <c r="P2349" s="499"/>
      <c r="Q2349" s="499"/>
    </row>
    <row r="2350" spans="1:17" ht="14.4" x14ac:dyDescent="0.3">
      <c r="A2350" s="502" t="s">
        <v>3757</v>
      </c>
      <c r="B2350" s="503" t="s">
        <v>1414</v>
      </c>
      <c r="C2350" s="514">
        <v>5660.53</v>
      </c>
      <c r="D2350" s="514">
        <v>5433.97</v>
      </c>
      <c r="E2350" s="514">
        <v>5147.88</v>
      </c>
      <c r="F2350" s="514">
        <v>5501.12</v>
      </c>
      <c r="G2350" s="514">
        <v>5845.03</v>
      </c>
      <c r="H2350" s="514">
        <v>5200.3100000000004</v>
      </c>
      <c r="I2350" s="514">
        <v>5898.69</v>
      </c>
      <c r="J2350" s="514">
        <v>5822.87</v>
      </c>
      <c r="K2350" s="514">
        <v>5420.47</v>
      </c>
      <c r="L2350" s="514">
        <v>5863.03</v>
      </c>
      <c r="M2350" s="514">
        <v>5395.72</v>
      </c>
      <c r="N2350" s="514">
        <v>5782.37</v>
      </c>
      <c r="O2350" s="499"/>
      <c r="P2350" s="499"/>
      <c r="Q2350" s="499"/>
    </row>
    <row r="2351" spans="1:17" ht="14.4" x14ac:dyDescent="0.3">
      <c r="A2351" s="502" t="s">
        <v>3758</v>
      </c>
      <c r="B2351" s="503" t="s">
        <v>1416</v>
      </c>
      <c r="C2351" s="514">
        <v>0</v>
      </c>
      <c r="D2351" s="514">
        <v>0</v>
      </c>
      <c r="E2351" s="514">
        <v>0</v>
      </c>
      <c r="F2351" s="514">
        <v>0</v>
      </c>
      <c r="G2351" s="514">
        <v>0</v>
      </c>
      <c r="H2351" s="514">
        <v>0</v>
      </c>
      <c r="I2351" s="514">
        <v>0</v>
      </c>
      <c r="J2351" s="514">
        <v>0</v>
      </c>
      <c r="K2351" s="514">
        <v>0</v>
      </c>
      <c r="L2351" s="514">
        <v>0</v>
      </c>
      <c r="M2351" s="514">
        <v>0</v>
      </c>
      <c r="N2351" s="514">
        <v>0</v>
      </c>
      <c r="O2351" s="499"/>
      <c r="P2351" s="499"/>
      <c r="Q2351" s="499"/>
    </row>
    <row r="2352" spans="1:17" ht="14.4" x14ac:dyDescent="0.3">
      <c r="A2352" s="502" t="s">
        <v>3759</v>
      </c>
      <c r="B2352" s="503" t="s">
        <v>3760</v>
      </c>
      <c r="C2352" s="514">
        <v>0</v>
      </c>
      <c r="D2352" s="514">
        <v>0</v>
      </c>
      <c r="E2352" s="514">
        <v>0</v>
      </c>
      <c r="F2352" s="514">
        <v>0</v>
      </c>
      <c r="G2352" s="514">
        <v>0</v>
      </c>
      <c r="H2352" s="514">
        <v>0</v>
      </c>
      <c r="I2352" s="514">
        <v>0</v>
      </c>
      <c r="J2352" s="514">
        <v>0</v>
      </c>
      <c r="K2352" s="514">
        <v>0</v>
      </c>
      <c r="L2352" s="514">
        <v>0</v>
      </c>
      <c r="M2352" s="514">
        <v>0</v>
      </c>
      <c r="N2352" s="514">
        <v>0</v>
      </c>
      <c r="O2352" s="499"/>
      <c r="P2352" s="499"/>
      <c r="Q2352" s="499"/>
    </row>
    <row r="2353" spans="1:17" ht="14.4" x14ac:dyDescent="0.3">
      <c r="A2353" s="502" t="s">
        <v>3761</v>
      </c>
      <c r="B2353" s="503" t="s">
        <v>1418</v>
      </c>
      <c r="C2353" s="514">
        <v>77672.710000000006</v>
      </c>
      <c r="D2353" s="514">
        <v>71576.17</v>
      </c>
      <c r="E2353" s="514">
        <v>72630.17</v>
      </c>
      <c r="F2353" s="514">
        <v>74993.34</v>
      </c>
      <c r="G2353" s="514">
        <v>77672.710000000006</v>
      </c>
      <c r="H2353" s="514">
        <v>69318.39</v>
      </c>
      <c r="I2353" s="514">
        <v>77672.710000000006</v>
      </c>
      <c r="J2353" s="514">
        <v>75309.539999999994</v>
      </c>
      <c r="K2353" s="514">
        <v>73420.67</v>
      </c>
      <c r="L2353" s="514">
        <v>77936.210000000006</v>
      </c>
      <c r="M2353" s="514">
        <v>71681.570000000007</v>
      </c>
      <c r="N2353" s="514">
        <v>76205.440000000002</v>
      </c>
      <c r="O2353" s="499"/>
      <c r="P2353" s="499"/>
      <c r="Q2353" s="499"/>
    </row>
    <row r="2354" spans="1:17" ht="14.4" x14ac:dyDescent="0.3">
      <c r="A2354" s="502" t="s">
        <v>3762</v>
      </c>
      <c r="B2354" s="503" t="s">
        <v>1420</v>
      </c>
      <c r="C2354" s="514">
        <v>59485.2</v>
      </c>
      <c r="D2354" s="514">
        <v>55255.89</v>
      </c>
      <c r="E2354" s="514">
        <v>55255.89</v>
      </c>
      <c r="F2354" s="514">
        <v>57370.55</v>
      </c>
      <c r="G2354" s="514">
        <v>96482.35</v>
      </c>
      <c r="H2354" s="514">
        <v>53141.23</v>
      </c>
      <c r="I2354" s="514">
        <v>59485.2</v>
      </c>
      <c r="J2354" s="514">
        <v>57370.55</v>
      </c>
      <c r="K2354" s="514">
        <v>55255.89</v>
      </c>
      <c r="L2354" s="514">
        <v>59485.2</v>
      </c>
      <c r="M2354" s="514">
        <v>55255.89</v>
      </c>
      <c r="N2354" s="514">
        <v>57395.5</v>
      </c>
      <c r="O2354" s="499"/>
      <c r="P2354" s="499"/>
      <c r="Q2354" s="499"/>
    </row>
    <row r="2355" spans="1:17" ht="14.4" x14ac:dyDescent="0.3">
      <c r="A2355" s="502" t="s">
        <v>3763</v>
      </c>
      <c r="B2355" s="503" t="s">
        <v>3764</v>
      </c>
      <c r="C2355" s="514">
        <v>14437.36</v>
      </c>
      <c r="D2355" s="514">
        <v>13188.85</v>
      </c>
      <c r="E2355" s="514">
        <v>13589.8</v>
      </c>
      <c r="F2355" s="514">
        <v>13813.1</v>
      </c>
      <c r="G2355" s="514">
        <v>14437.36</v>
      </c>
      <c r="H2355" s="514">
        <v>12965.54</v>
      </c>
      <c r="I2355" s="514">
        <v>14437.36</v>
      </c>
      <c r="J2355" s="514">
        <v>13813.1</v>
      </c>
      <c r="K2355" s="514">
        <v>13857.1</v>
      </c>
      <c r="L2355" s="514">
        <v>14437.36</v>
      </c>
      <c r="M2355" s="514">
        <v>13188.85</v>
      </c>
      <c r="N2355" s="514">
        <v>14481.35</v>
      </c>
      <c r="O2355" s="499"/>
      <c r="P2355" s="499"/>
      <c r="Q2355" s="499"/>
    </row>
    <row r="2356" spans="1:17" ht="14.4" x14ac:dyDescent="0.3">
      <c r="A2356" s="502" t="s">
        <v>3765</v>
      </c>
      <c r="B2356" s="503" t="s">
        <v>3766</v>
      </c>
      <c r="C2356" s="514">
        <v>41695.279999999999</v>
      </c>
      <c r="D2356" s="514">
        <v>39621.839999999997</v>
      </c>
      <c r="E2356" s="514">
        <v>36966.6</v>
      </c>
      <c r="F2356" s="514">
        <v>37239.81</v>
      </c>
      <c r="G2356" s="514">
        <v>39161.160000000003</v>
      </c>
      <c r="H2356" s="514">
        <v>34713.769999999997</v>
      </c>
      <c r="I2356" s="514">
        <v>38608.71</v>
      </c>
      <c r="J2356" s="514">
        <v>37239.81</v>
      </c>
      <c r="K2356" s="514">
        <v>36414.15</v>
      </c>
      <c r="L2356" s="514">
        <v>41557.17</v>
      </c>
      <c r="M2356" s="514">
        <v>36018.22</v>
      </c>
      <c r="N2356" s="514">
        <v>40621.730000000003</v>
      </c>
      <c r="O2356" s="499"/>
      <c r="P2356" s="499"/>
      <c r="Q2356" s="499"/>
    </row>
    <row r="2357" spans="1:17" ht="14.4" x14ac:dyDescent="0.3">
      <c r="A2357" s="502" t="s">
        <v>3767</v>
      </c>
      <c r="B2357" s="503" t="s">
        <v>3768</v>
      </c>
      <c r="C2357" s="514">
        <v>0</v>
      </c>
      <c r="D2357" s="514">
        <v>0</v>
      </c>
      <c r="E2357" s="514">
        <v>0</v>
      </c>
      <c r="F2357" s="514">
        <v>0</v>
      </c>
      <c r="G2357" s="514">
        <v>0</v>
      </c>
      <c r="H2357" s="514">
        <v>0</v>
      </c>
      <c r="I2357" s="514">
        <v>0</v>
      </c>
      <c r="J2357" s="514">
        <v>0</v>
      </c>
      <c r="K2357" s="514">
        <v>0</v>
      </c>
      <c r="L2357" s="514">
        <v>0</v>
      </c>
      <c r="M2357" s="514">
        <v>0</v>
      </c>
      <c r="N2357" s="514">
        <v>0</v>
      </c>
      <c r="O2357" s="499"/>
      <c r="P2357" s="499"/>
      <c r="Q2357" s="499"/>
    </row>
    <row r="2358" spans="1:17" ht="14.4" x14ac:dyDescent="0.3">
      <c r="A2358" s="502" t="s">
        <v>3769</v>
      </c>
      <c r="B2358" s="503" t="s">
        <v>3770</v>
      </c>
      <c r="C2358" s="514">
        <v>0</v>
      </c>
      <c r="D2358" s="514">
        <v>0</v>
      </c>
      <c r="E2358" s="514">
        <v>0</v>
      </c>
      <c r="F2358" s="514">
        <v>0</v>
      </c>
      <c r="G2358" s="514">
        <v>0</v>
      </c>
      <c r="H2358" s="514">
        <v>0</v>
      </c>
      <c r="I2358" s="514">
        <v>0</v>
      </c>
      <c r="J2358" s="514">
        <v>0</v>
      </c>
      <c r="K2358" s="514">
        <v>0</v>
      </c>
      <c r="L2358" s="514">
        <v>0</v>
      </c>
      <c r="M2358" s="514">
        <v>0</v>
      </c>
      <c r="N2358" s="514">
        <v>0</v>
      </c>
      <c r="O2358" s="499"/>
      <c r="P2358" s="499"/>
      <c r="Q2358" s="499"/>
    </row>
    <row r="2359" spans="1:17" ht="14.4" x14ac:dyDescent="0.3">
      <c r="A2359" s="502" t="s">
        <v>3771</v>
      </c>
      <c r="B2359" s="503" t="s">
        <v>1386</v>
      </c>
      <c r="C2359" s="514">
        <v>251900.26</v>
      </c>
      <c r="D2359" s="514">
        <v>229108.43</v>
      </c>
      <c r="E2359" s="514">
        <v>229108.43</v>
      </c>
      <c r="F2359" s="514">
        <v>249019.04</v>
      </c>
      <c r="G2359" s="514">
        <v>260338.08</v>
      </c>
      <c r="H2359" s="514">
        <v>226380.93</v>
      </c>
      <c r="I2359" s="514">
        <v>260338.08</v>
      </c>
      <c r="J2359" s="514">
        <v>249019.04</v>
      </c>
      <c r="K2359" s="514">
        <v>237699.99</v>
      </c>
      <c r="L2359" s="514">
        <v>260338.08</v>
      </c>
      <c r="M2359" s="514">
        <v>237699.99</v>
      </c>
      <c r="N2359" s="514">
        <v>249019.04</v>
      </c>
      <c r="O2359" s="499"/>
      <c r="P2359" s="499"/>
      <c r="Q2359" s="499"/>
    </row>
    <row r="2360" spans="1:17" ht="14.4" x14ac:dyDescent="0.3">
      <c r="A2360" s="502" t="s">
        <v>3772</v>
      </c>
      <c r="B2360" s="503" t="s">
        <v>3773</v>
      </c>
      <c r="C2360" s="514">
        <v>0</v>
      </c>
      <c r="D2360" s="514">
        <v>0</v>
      </c>
      <c r="E2360" s="514">
        <v>0</v>
      </c>
      <c r="F2360" s="514">
        <v>0</v>
      </c>
      <c r="G2360" s="514">
        <v>0</v>
      </c>
      <c r="H2360" s="514">
        <v>0</v>
      </c>
      <c r="I2360" s="514">
        <v>0</v>
      </c>
      <c r="J2360" s="514">
        <v>0</v>
      </c>
      <c r="K2360" s="514">
        <v>0</v>
      </c>
      <c r="L2360" s="514">
        <v>0</v>
      </c>
      <c r="M2360" s="514">
        <v>0</v>
      </c>
      <c r="N2360" s="514">
        <v>0</v>
      </c>
      <c r="O2360" s="499"/>
      <c r="P2360" s="499"/>
      <c r="Q2360" s="499"/>
    </row>
    <row r="2361" spans="1:17" ht="14.4" x14ac:dyDescent="0.3">
      <c r="A2361" s="502" t="s">
        <v>3774</v>
      </c>
      <c r="B2361" s="503" t="s">
        <v>3775</v>
      </c>
      <c r="C2361" s="514">
        <v>0</v>
      </c>
      <c r="D2361" s="514">
        <v>0</v>
      </c>
      <c r="E2361" s="514">
        <v>0</v>
      </c>
      <c r="F2361" s="514">
        <v>0</v>
      </c>
      <c r="G2361" s="514">
        <v>0</v>
      </c>
      <c r="H2361" s="514">
        <v>0</v>
      </c>
      <c r="I2361" s="514">
        <v>0</v>
      </c>
      <c r="J2361" s="514">
        <v>0</v>
      </c>
      <c r="K2361" s="514">
        <v>0</v>
      </c>
      <c r="L2361" s="514">
        <v>0</v>
      </c>
      <c r="M2361" s="514">
        <v>0</v>
      </c>
      <c r="N2361" s="514">
        <v>0</v>
      </c>
      <c r="O2361" s="499"/>
      <c r="P2361" s="499"/>
      <c r="Q2361" s="499"/>
    </row>
    <row r="2362" spans="1:17" ht="14.4" x14ac:dyDescent="0.3">
      <c r="A2362" s="502" t="s">
        <v>3776</v>
      </c>
      <c r="B2362" s="503" t="s">
        <v>3777</v>
      </c>
      <c r="C2362" s="514">
        <v>0</v>
      </c>
      <c r="D2362" s="514">
        <v>0</v>
      </c>
      <c r="E2362" s="514">
        <v>0</v>
      </c>
      <c r="F2362" s="514">
        <v>0</v>
      </c>
      <c r="G2362" s="514">
        <v>0</v>
      </c>
      <c r="H2362" s="514">
        <v>0</v>
      </c>
      <c r="I2362" s="514">
        <v>0</v>
      </c>
      <c r="J2362" s="514">
        <v>0</v>
      </c>
      <c r="K2362" s="514">
        <v>0</v>
      </c>
      <c r="L2362" s="514">
        <v>0</v>
      </c>
      <c r="M2362" s="514">
        <v>0</v>
      </c>
      <c r="N2362" s="514">
        <v>0</v>
      </c>
      <c r="O2362" s="499"/>
      <c r="P2362" s="499"/>
      <c r="Q2362" s="499"/>
    </row>
    <row r="2363" spans="1:17" ht="14.4" x14ac:dyDescent="0.3">
      <c r="A2363" s="502" t="s">
        <v>3778</v>
      </c>
      <c r="B2363" s="503" t="s">
        <v>3779</v>
      </c>
      <c r="C2363" s="514">
        <v>0</v>
      </c>
      <c r="D2363" s="514">
        <v>0</v>
      </c>
      <c r="E2363" s="514">
        <v>0</v>
      </c>
      <c r="F2363" s="514">
        <v>0</v>
      </c>
      <c r="G2363" s="514">
        <v>0</v>
      </c>
      <c r="H2363" s="514">
        <v>0</v>
      </c>
      <c r="I2363" s="514">
        <v>0</v>
      </c>
      <c r="J2363" s="514">
        <v>0</v>
      </c>
      <c r="K2363" s="514">
        <v>0</v>
      </c>
      <c r="L2363" s="514">
        <v>0</v>
      </c>
      <c r="M2363" s="514">
        <v>0</v>
      </c>
      <c r="N2363" s="514">
        <v>0</v>
      </c>
      <c r="O2363" s="499"/>
      <c r="P2363" s="499"/>
      <c r="Q2363" s="499"/>
    </row>
    <row r="2364" spans="1:17" ht="14.4" x14ac:dyDescent="0.3">
      <c r="A2364" s="502" t="s">
        <v>3780</v>
      </c>
      <c r="B2364" s="503" t="s">
        <v>3781</v>
      </c>
      <c r="C2364" s="514">
        <v>0</v>
      </c>
      <c r="D2364" s="514">
        <v>0</v>
      </c>
      <c r="E2364" s="514">
        <v>0</v>
      </c>
      <c r="F2364" s="514">
        <v>0</v>
      </c>
      <c r="G2364" s="514">
        <v>0</v>
      </c>
      <c r="H2364" s="514">
        <v>0</v>
      </c>
      <c r="I2364" s="514">
        <v>0</v>
      </c>
      <c r="J2364" s="514">
        <v>0</v>
      </c>
      <c r="K2364" s="514">
        <v>0</v>
      </c>
      <c r="L2364" s="514">
        <v>0</v>
      </c>
      <c r="M2364" s="514">
        <v>0</v>
      </c>
      <c r="N2364" s="514">
        <v>0</v>
      </c>
      <c r="O2364" s="499"/>
      <c r="P2364" s="499"/>
      <c r="Q2364" s="499"/>
    </row>
    <row r="2365" spans="1:17" ht="14.4" x14ac:dyDescent="0.3">
      <c r="A2365" s="502" t="s">
        <v>3782</v>
      </c>
      <c r="B2365" s="503" t="s">
        <v>830</v>
      </c>
      <c r="C2365" s="514">
        <v>0</v>
      </c>
      <c r="D2365" s="514">
        <v>0</v>
      </c>
      <c r="E2365" s="514">
        <v>0</v>
      </c>
      <c r="F2365" s="514">
        <v>0</v>
      </c>
      <c r="G2365" s="514">
        <v>0</v>
      </c>
      <c r="H2365" s="514">
        <v>0</v>
      </c>
      <c r="I2365" s="514">
        <v>0</v>
      </c>
      <c r="J2365" s="514">
        <v>0</v>
      </c>
      <c r="K2365" s="514">
        <v>0</v>
      </c>
      <c r="L2365" s="514">
        <v>0</v>
      </c>
      <c r="M2365" s="514">
        <v>0</v>
      </c>
      <c r="N2365" s="514">
        <v>0</v>
      </c>
      <c r="O2365" s="499"/>
      <c r="P2365" s="499"/>
      <c r="Q2365" s="499"/>
    </row>
    <row r="2366" spans="1:17" ht="14.4" x14ac:dyDescent="0.3">
      <c r="A2366" s="502" t="s">
        <v>3783</v>
      </c>
      <c r="B2366" s="503" t="s">
        <v>3784</v>
      </c>
      <c r="C2366" s="514">
        <v>0</v>
      </c>
      <c r="D2366" s="514">
        <v>0</v>
      </c>
      <c r="E2366" s="514">
        <v>0</v>
      </c>
      <c r="F2366" s="514">
        <v>0</v>
      </c>
      <c r="G2366" s="514">
        <v>0</v>
      </c>
      <c r="H2366" s="514">
        <v>0</v>
      </c>
      <c r="I2366" s="514">
        <v>0</v>
      </c>
      <c r="J2366" s="514">
        <v>0</v>
      </c>
      <c r="K2366" s="514">
        <v>0</v>
      </c>
      <c r="L2366" s="514">
        <v>0</v>
      </c>
      <c r="M2366" s="514">
        <v>0</v>
      </c>
      <c r="N2366" s="514">
        <v>0</v>
      </c>
      <c r="O2366" s="499"/>
      <c r="P2366" s="499"/>
      <c r="Q2366" s="499"/>
    </row>
    <row r="2367" spans="1:17" ht="14.4" x14ac:dyDescent="0.3">
      <c r="A2367" s="502" t="s">
        <v>3785</v>
      </c>
      <c r="B2367" s="503" t="s">
        <v>1162</v>
      </c>
      <c r="C2367" s="514">
        <v>0</v>
      </c>
      <c r="D2367" s="514">
        <v>0</v>
      </c>
      <c r="E2367" s="514">
        <v>0</v>
      </c>
      <c r="F2367" s="514">
        <v>0</v>
      </c>
      <c r="G2367" s="514">
        <v>0</v>
      </c>
      <c r="H2367" s="514">
        <v>0</v>
      </c>
      <c r="I2367" s="514">
        <v>0</v>
      </c>
      <c r="J2367" s="514">
        <v>0</v>
      </c>
      <c r="K2367" s="514">
        <v>0</v>
      </c>
      <c r="L2367" s="514">
        <v>0</v>
      </c>
      <c r="M2367" s="514">
        <v>0</v>
      </c>
      <c r="N2367" s="514">
        <v>0</v>
      </c>
      <c r="O2367" s="499"/>
      <c r="P2367" s="499"/>
      <c r="Q2367" s="499"/>
    </row>
    <row r="2368" spans="1:17" ht="14.4" x14ac:dyDescent="0.3">
      <c r="A2368" s="502" t="s">
        <v>3786</v>
      </c>
      <c r="B2368" s="503" t="s">
        <v>3787</v>
      </c>
      <c r="C2368" s="514">
        <v>0</v>
      </c>
      <c r="D2368" s="514">
        <v>0</v>
      </c>
      <c r="E2368" s="514">
        <v>0</v>
      </c>
      <c r="F2368" s="514">
        <v>0</v>
      </c>
      <c r="G2368" s="514">
        <v>0</v>
      </c>
      <c r="H2368" s="514">
        <v>0</v>
      </c>
      <c r="I2368" s="514">
        <v>0</v>
      </c>
      <c r="J2368" s="514">
        <v>0</v>
      </c>
      <c r="K2368" s="514">
        <v>0</v>
      </c>
      <c r="L2368" s="514">
        <v>0</v>
      </c>
      <c r="M2368" s="514">
        <v>0</v>
      </c>
      <c r="N2368" s="514">
        <v>0</v>
      </c>
      <c r="O2368" s="499"/>
      <c r="P2368" s="499"/>
      <c r="Q2368" s="499"/>
    </row>
    <row r="2369" spans="1:17" ht="14.4" x14ac:dyDescent="0.3">
      <c r="A2369" s="502" t="s">
        <v>3788</v>
      </c>
      <c r="B2369" s="503" t="s">
        <v>3789</v>
      </c>
      <c r="C2369" s="514">
        <v>0</v>
      </c>
      <c r="D2369" s="514">
        <v>0</v>
      </c>
      <c r="E2369" s="514">
        <v>0</v>
      </c>
      <c r="F2369" s="514">
        <v>0</v>
      </c>
      <c r="G2369" s="514">
        <v>0</v>
      </c>
      <c r="H2369" s="514">
        <v>0</v>
      </c>
      <c r="I2369" s="514">
        <v>0</v>
      </c>
      <c r="J2369" s="514">
        <v>0</v>
      </c>
      <c r="K2369" s="514">
        <v>0</v>
      </c>
      <c r="L2369" s="514">
        <v>0</v>
      </c>
      <c r="M2369" s="514">
        <v>0</v>
      </c>
      <c r="N2369" s="514">
        <v>0</v>
      </c>
      <c r="O2369" s="499"/>
      <c r="P2369" s="499"/>
      <c r="Q2369" s="499"/>
    </row>
    <row r="2370" spans="1:17" ht="14.4" x14ac:dyDescent="0.3">
      <c r="A2370" s="502" t="s">
        <v>3790</v>
      </c>
      <c r="B2370" s="503" t="s">
        <v>3791</v>
      </c>
      <c r="C2370" s="514">
        <v>0</v>
      </c>
      <c r="D2370" s="514">
        <v>0</v>
      </c>
      <c r="E2370" s="514">
        <v>0</v>
      </c>
      <c r="F2370" s="514">
        <v>0</v>
      </c>
      <c r="G2370" s="514">
        <v>0</v>
      </c>
      <c r="H2370" s="514">
        <v>0</v>
      </c>
      <c r="I2370" s="514">
        <v>0</v>
      </c>
      <c r="J2370" s="514">
        <v>0</v>
      </c>
      <c r="K2370" s="514">
        <v>0</v>
      </c>
      <c r="L2370" s="514">
        <v>0</v>
      </c>
      <c r="M2370" s="514">
        <v>0</v>
      </c>
      <c r="N2370" s="514">
        <v>0</v>
      </c>
      <c r="O2370" s="499"/>
      <c r="P2370" s="499"/>
      <c r="Q2370" s="499"/>
    </row>
    <row r="2371" spans="1:17" ht="14.4" x14ac:dyDescent="0.3">
      <c r="A2371" s="502" t="s">
        <v>3792</v>
      </c>
      <c r="B2371" s="503" t="s">
        <v>3793</v>
      </c>
      <c r="C2371" s="514">
        <v>0</v>
      </c>
      <c r="D2371" s="514">
        <v>0</v>
      </c>
      <c r="E2371" s="514">
        <v>0</v>
      </c>
      <c r="F2371" s="514">
        <v>0</v>
      </c>
      <c r="G2371" s="514">
        <v>0</v>
      </c>
      <c r="H2371" s="514">
        <v>0</v>
      </c>
      <c r="I2371" s="514">
        <v>0</v>
      </c>
      <c r="J2371" s="514">
        <v>0</v>
      </c>
      <c r="K2371" s="514">
        <v>0</v>
      </c>
      <c r="L2371" s="514">
        <v>0</v>
      </c>
      <c r="M2371" s="514">
        <v>0</v>
      </c>
      <c r="N2371" s="514">
        <v>0</v>
      </c>
      <c r="O2371" s="499"/>
      <c r="P2371" s="499"/>
      <c r="Q2371" s="499"/>
    </row>
    <row r="2372" spans="1:17" ht="14.4" x14ac:dyDescent="0.3">
      <c r="A2372" s="502" t="s">
        <v>3794</v>
      </c>
      <c r="B2372" s="503" t="s">
        <v>3795</v>
      </c>
      <c r="C2372" s="514">
        <v>0</v>
      </c>
      <c r="D2372" s="514">
        <v>0</v>
      </c>
      <c r="E2372" s="514">
        <v>0</v>
      </c>
      <c r="F2372" s="514">
        <v>0</v>
      </c>
      <c r="G2372" s="514">
        <v>0</v>
      </c>
      <c r="H2372" s="514">
        <v>0</v>
      </c>
      <c r="I2372" s="514">
        <v>0</v>
      </c>
      <c r="J2372" s="514">
        <v>0</v>
      </c>
      <c r="K2372" s="514">
        <v>0</v>
      </c>
      <c r="L2372" s="514">
        <v>0</v>
      </c>
      <c r="M2372" s="514">
        <v>0</v>
      </c>
      <c r="N2372" s="514">
        <v>0</v>
      </c>
      <c r="O2372" s="499"/>
      <c r="P2372" s="499"/>
      <c r="Q2372" s="499"/>
    </row>
    <row r="2373" spans="1:17" ht="14.4" x14ac:dyDescent="0.3">
      <c r="A2373" s="502" t="s">
        <v>3796</v>
      </c>
      <c r="B2373" s="503" t="s">
        <v>3797</v>
      </c>
      <c r="C2373" s="514">
        <v>0</v>
      </c>
      <c r="D2373" s="514">
        <v>0</v>
      </c>
      <c r="E2373" s="514">
        <v>0</v>
      </c>
      <c r="F2373" s="514">
        <v>0</v>
      </c>
      <c r="G2373" s="514">
        <v>0</v>
      </c>
      <c r="H2373" s="514">
        <v>0</v>
      </c>
      <c r="I2373" s="514">
        <v>0</v>
      </c>
      <c r="J2373" s="514">
        <v>0</v>
      </c>
      <c r="K2373" s="514">
        <v>0</v>
      </c>
      <c r="L2373" s="514">
        <v>0</v>
      </c>
      <c r="M2373" s="514">
        <v>0</v>
      </c>
      <c r="N2373" s="514">
        <v>0</v>
      </c>
      <c r="O2373" s="499"/>
      <c r="P2373" s="499"/>
      <c r="Q2373" s="499"/>
    </row>
    <row r="2374" spans="1:17" ht="14.4" x14ac:dyDescent="0.3">
      <c r="A2374" s="502" t="s">
        <v>3798</v>
      </c>
      <c r="B2374" s="503" t="s">
        <v>3799</v>
      </c>
      <c r="C2374" s="514">
        <v>0</v>
      </c>
      <c r="D2374" s="514">
        <v>0</v>
      </c>
      <c r="E2374" s="514">
        <v>0</v>
      </c>
      <c r="F2374" s="514">
        <v>0</v>
      </c>
      <c r="G2374" s="514">
        <v>0</v>
      </c>
      <c r="H2374" s="514">
        <v>0</v>
      </c>
      <c r="I2374" s="514">
        <v>0</v>
      </c>
      <c r="J2374" s="514">
        <v>0</v>
      </c>
      <c r="K2374" s="514">
        <v>0</v>
      </c>
      <c r="L2374" s="514">
        <v>0</v>
      </c>
      <c r="M2374" s="514">
        <v>0</v>
      </c>
      <c r="N2374" s="514">
        <v>0</v>
      </c>
      <c r="O2374" s="499"/>
      <c r="P2374" s="499"/>
      <c r="Q2374" s="499"/>
    </row>
    <row r="2375" spans="1:17" ht="14.4" x14ac:dyDescent="0.3">
      <c r="A2375" s="502" t="s">
        <v>3800</v>
      </c>
      <c r="B2375" s="503" t="s">
        <v>3801</v>
      </c>
      <c r="C2375" s="514">
        <v>0</v>
      </c>
      <c r="D2375" s="514">
        <v>0</v>
      </c>
      <c r="E2375" s="514">
        <v>0</v>
      </c>
      <c r="F2375" s="514">
        <v>0</v>
      </c>
      <c r="G2375" s="514">
        <v>0</v>
      </c>
      <c r="H2375" s="514">
        <v>0</v>
      </c>
      <c r="I2375" s="514">
        <v>0</v>
      </c>
      <c r="J2375" s="514">
        <v>0</v>
      </c>
      <c r="K2375" s="514">
        <v>0</v>
      </c>
      <c r="L2375" s="514">
        <v>0</v>
      </c>
      <c r="M2375" s="514">
        <v>0</v>
      </c>
      <c r="N2375" s="514">
        <v>0</v>
      </c>
      <c r="O2375" s="499"/>
      <c r="P2375" s="499"/>
      <c r="Q2375" s="499"/>
    </row>
    <row r="2376" spans="1:17" ht="14.4" x14ac:dyDescent="0.3">
      <c r="A2376" s="502" t="s">
        <v>3802</v>
      </c>
      <c r="B2376" s="503" t="s">
        <v>3803</v>
      </c>
      <c r="C2376" s="514">
        <v>0</v>
      </c>
      <c r="D2376" s="514">
        <v>0</v>
      </c>
      <c r="E2376" s="514">
        <v>0</v>
      </c>
      <c r="F2376" s="514">
        <v>0</v>
      </c>
      <c r="G2376" s="514">
        <v>0</v>
      </c>
      <c r="H2376" s="514">
        <v>0</v>
      </c>
      <c r="I2376" s="514">
        <v>0</v>
      </c>
      <c r="J2376" s="514">
        <v>0</v>
      </c>
      <c r="K2376" s="514">
        <v>0</v>
      </c>
      <c r="L2376" s="514">
        <v>0</v>
      </c>
      <c r="M2376" s="514">
        <v>0</v>
      </c>
      <c r="N2376" s="514">
        <v>0</v>
      </c>
      <c r="O2376" s="499"/>
      <c r="P2376" s="499"/>
      <c r="Q2376" s="499"/>
    </row>
    <row r="2377" spans="1:17" ht="14.4" x14ac:dyDescent="0.3">
      <c r="A2377" s="502" t="s">
        <v>3804</v>
      </c>
      <c r="B2377" s="503" t="s">
        <v>3805</v>
      </c>
      <c r="C2377" s="514">
        <v>0</v>
      </c>
      <c r="D2377" s="514">
        <v>0</v>
      </c>
      <c r="E2377" s="514">
        <v>0</v>
      </c>
      <c r="F2377" s="514">
        <v>0</v>
      </c>
      <c r="G2377" s="514">
        <v>0</v>
      </c>
      <c r="H2377" s="514">
        <v>0</v>
      </c>
      <c r="I2377" s="514">
        <v>0</v>
      </c>
      <c r="J2377" s="514">
        <v>0</v>
      </c>
      <c r="K2377" s="514">
        <v>0</v>
      </c>
      <c r="L2377" s="514">
        <v>0</v>
      </c>
      <c r="M2377" s="514">
        <v>0</v>
      </c>
      <c r="N2377" s="514">
        <v>0</v>
      </c>
      <c r="O2377" s="499"/>
      <c r="P2377" s="499"/>
      <c r="Q2377" s="499"/>
    </row>
    <row r="2378" spans="1:17" ht="14.4" x14ac:dyDescent="0.3">
      <c r="A2378" s="502" t="s">
        <v>3806</v>
      </c>
      <c r="B2378" s="503" t="s">
        <v>3807</v>
      </c>
      <c r="C2378" s="514">
        <v>0</v>
      </c>
      <c r="D2378" s="514">
        <v>0</v>
      </c>
      <c r="E2378" s="514">
        <v>0</v>
      </c>
      <c r="F2378" s="514">
        <v>0</v>
      </c>
      <c r="G2378" s="514">
        <v>0</v>
      </c>
      <c r="H2378" s="514">
        <v>0</v>
      </c>
      <c r="I2378" s="514">
        <v>0</v>
      </c>
      <c r="J2378" s="514">
        <v>0</v>
      </c>
      <c r="K2378" s="514">
        <v>0</v>
      </c>
      <c r="L2378" s="514">
        <v>0</v>
      </c>
      <c r="M2378" s="514">
        <v>0</v>
      </c>
      <c r="N2378" s="514">
        <v>0</v>
      </c>
      <c r="O2378" s="499"/>
      <c r="P2378" s="499"/>
      <c r="Q2378" s="499"/>
    </row>
    <row r="2379" spans="1:17" ht="14.4" x14ac:dyDescent="0.3">
      <c r="A2379" s="502" t="s">
        <v>3808</v>
      </c>
      <c r="B2379" s="503" t="s">
        <v>3809</v>
      </c>
      <c r="C2379" s="514">
        <v>0</v>
      </c>
      <c r="D2379" s="514">
        <v>0</v>
      </c>
      <c r="E2379" s="514">
        <v>0</v>
      </c>
      <c r="F2379" s="514">
        <v>0</v>
      </c>
      <c r="G2379" s="514">
        <v>0</v>
      </c>
      <c r="H2379" s="514">
        <v>0</v>
      </c>
      <c r="I2379" s="514">
        <v>0</v>
      </c>
      <c r="J2379" s="514">
        <v>0</v>
      </c>
      <c r="K2379" s="514">
        <v>0</v>
      </c>
      <c r="L2379" s="514">
        <v>0</v>
      </c>
      <c r="M2379" s="514">
        <v>0</v>
      </c>
      <c r="N2379" s="514">
        <v>0</v>
      </c>
      <c r="O2379" s="499"/>
      <c r="P2379" s="499"/>
      <c r="Q2379" s="499"/>
    </row>
    <row r="2380" spans="1:17" ht="14.4" x14ac:dyDescent="0.3">
      <c r="A2380" s="502" t="s">
        <v>3810</v>
      </c>
      <c r="B2380" s="503" t="s">
        <v>3811</v>
      </c>
      <c r="C2380" s="514">
        <v>0</v>
      </c>
      <c r="D2380" s="514">
        <v>0</v>
      </c>
      <c r="E2380" s="514">
        <v>0</v>
      </c>
      <c r="F2380" s="514">
        <v>0</v>
      </c>
      <c r="G2380" s="514">
        <v>0</v>
      </c>
      <c r="H2380" s="514">
        <v>0</v>
      </c>
      <c r="I2380" s="514">
        <v>0</v>
      </c>
      <c r="J2380" s="514">
        <v>0</v>
      </c>
      <c r="K2380" s="514">
        <v>0</v>
      </c>
      <c r="L2380" s="514">
        <v>0</v>
      </c>
      <c r="M2380" s="514">
        <v>0</v>
      </c>
      <c r="N2380" s="514">
        <v>0</v>
      </c>
      <c r="O2380" s="499"/>
      <c r="P2380" s="499"/>
      <c r="Q2380" s="499"/>
    </row>
    <row r="2381" spans="1:17" ht="14.4" x14ac:dyDescent="0.3">
      <c r="A2381" s="502" t="s">
        <v>3812</v>
      </c>
      <c r="B2381" s="503" t="s">
        <v>3813</v>
      </c>
      <c r="C2381" s="514">
        <v>0</v>
      </c>
      <c r="D2381" s="514">
        <v>0</v>
      </c>
      <c r="E2381" s="514">
        <v>0</v>
      </c>
      <c r="F2381" s="514">
        <v>0</v>
      </c>
      <c r="G2381" s="514">
        <v>0</v>
      </c>
      <c r="H2381" s="514">
        <v>0</v>
      </c>
      <c r="I2381" s="514">
        <v>0</v>
      </c>
      <c r="J2381" s="514">
        <v>0</v>
      </c>
      <c r="K2381" s="514">
        <v>0</v>
      </c>
      <c r="L2381" s="514">
        <v>0</v>
      </c>
      <c r="M2381" s="514">
        <v>0</v>
      </c>
      <c r="N2381" s="514">
        <v>0</v>
      </c>
      <c r="O2381" s="499"/>
      <c r="P2381" s="499"/>
      <c r="Q2381" s="499"/>
    </row>
    <row r="2382" spans="1:17" ht="14.4" x14ac:dyDescent="0.3">
      <c r="A2382" s="502" t="s">
        <v>3814</v>
      </c>
      <c r="B2382" s="503" t="s">
        <v>3815</v>
      </c>
      <c r="C2382" s="514">
        <v>0</v>
      </c>
      <c r="D2382" s="514">
        <v>0</v>
      </c>
      <c r="E2382" s="514">
        <v>0</v>
      </c>
      <c r="F2382" s="514">
        <v>0</v>
      </c>
      <c r="G2382" s="514">
        <v>0</v>
      </c>
      <c r="H2382" s="514">
        <v>0</v>
      </c>
      <c r="I2382" s="514">
        <v>0</v>
      </c>
      <c r="J2382" s="514">
        <v>0</v>
      </c>
      <c r="K2382" s="514">
        <v>0</v>
      </c>
      <c r="L2382" s="514">
        <v>0</v>
      </c>
      <c r="M2382" s="514">
        <v>0</v>
      </c>
      <c r="N2382" s="514">
        <v>0</v>
      </c>
      <c r="O2382" s="499"/>
      <c r="P2382" s="499"/>
      <c r="Q2382" s="499"/>
    </row>
    <row r="2383" spans="1:17" ht="14.4" x14ac:dyDescent="0.3">
      <c r="A2383" s="502" t="s">
        <v>3816</v>
      </c>
      <c r="B2383" s="503" t="s">
        <v>3817</v>
      </c>
      <c r="C2383" s="514">
        <v>0</v>
      </c>
      <c r="D2383" s="514">
        <v>0</v>
      </c>
      <c r="E2383" s="514">
        <v>0</v>
      </c>
      <c r="F2383" s="514">
        <v>0</v>
      </c>
      <c r="G2383" s="514">
        <v>0</v>
      </c>
      <c r="H2383" s="514">
        <v>0</v>
      </c>
      <c r="I2383" s="514">
        <v>0</v>
      </c>
      <c r="J2383" s="514">
        <v>0</v>
      </c>
      <c r="K2383" s="514">
        <v>0</v>
      </c>
      <c r="L2383" s="514">
        <v>0</v>
      </c>
      <c r="M2383" s="514">
        <v>0</v>
      </c>
      <c r="N2383" s="514">
        <v>0</v>
      </c>
      <c r="O2383" s="499"/>
      <c r="P2383" s="499"/>
      <c r="Q2383" s="499"/>
    </row>
    <row r="2384" spans="1:17" ht="14.4" x14ac:dyDescent="0.3">
      <c r="A2384" s="502" t="s">
        <v>3818</v>
      </c>
      <c r="B2384" s="503" t="s">
        <v>3819</v>
      </c>
      <c r="C2384" s="514">
        <v>0</v>
      </c>
      <c r="D2384" s="514">
        <v>0</v>
      </c>
      <c r="E2384" s="514">
        <v>0</v>
      </c>
      <c r="F2384" s="514">
        <v>0</v>
      </c>
      <c r="G2384" s="514">
        <v>0</v>
      </c>
      <c r="H2384" s="514">
        <v>0</v>
      </c>
      <c r="I2384" s="514">
        <v>0</v>
      </c>
      <c r="J2384" s="514">
        <v>0</v>
      </c>
      <c r="K2384" s="514">
        <v>0</v>
      </c>
      <c r="L2384" s="514">
        <v>0</v>
      </c>
      <c r="M2384" s="514">
        <v>0</v>
      </c>
      <c r="N2384" s="514">
        <v>0</v>
      </c>
      <c r="O2384" s="499"/>
      <c r="P2384" s="499"/>
      <c r="Q2384" s="499"/>
    </row>
    <row r="2385" spans="1:17" ht="14.4" x14ac:dyDescent="0.3">
      <c r="A2385" s="502" t="s">
        <v>3820</v>
      </c>
      <c r="B2385" s="503" t="s">
        <v>3821</v>
      </c>
      <c r="C2385" s="514">
        <v>0</v>
      </c>
      <c r="D2385" s="514">
        <v>0</v>
      </c>
      <c r="E2385" s="514">
        <v>0</v>
      </c>
      <c r="F2385" s="514">
        <v>0</v>
      </c>
      <c r="G2385" s="514">
        <v>0</v>
      </c>
      <c r="H2385" s="514">
        <v>0</v>
      </c>
      <c r="I2385" s="514">
        <v>0</v>
      </c>
      <c r="J2385" s="514">
        <v>0</v>
      </c>
      <c r="K2385" s="514">
        <v>0</v>
      </c>
      <c r="L2385" s="514">
        <v>0</v>
      </c>
      <c r="M2385" s="514">
        <v>0</v>
      </c>
      <c r="N2385" s="514">
        <v>0</v>
      </c>
      <c r="O2385" s="499"/>
      <c r="P2385" s="499"/>
      <c r="Q2385" s="499"/>
    </row>
    <row r="2386" spans="1:17" ht="14.4" x14ac:dyDescent="0.3">
      <c r="A2386" s="502" t="s">
        <v>3822</v>
      </c>
      <c r="B2386" s="503" t="s">
        <v>3823</v>
      </c>
      <c r="C2386" s="514">
        <v>0</v>
      </c>
      <c r="D2386" s="514">
        <v>0</v>
      </c>
      <c r="E2386" s="514">
        <v>0</v>
      </c>
      <c r="F2386" s="514">
        <v>0</v>
      </c>
      <c r="G2386" s="514">
        <v>0</v>
      </c>
      <c r="H2386" s="514">
        <v>0</v>
      </c>
      <c r="I2386" s="514">
        <v>0</v>
      </c>
      <c r="J2386" s="514">
        <v>0</v>
      </c>
      <c r="K2386" s="514">
        <v>0</v>
      </c>
      <c r="L2386" s="514">
        <v>0</v>
      </c>
      <c r="M2386" s="514">
        <v>0</v>
      </c>
      <c r="N2386" s="514">
        <v>0</v>
      </c>
      <c r="O2386" s="499"/>
      <c r="P2386" s="499"/>
      <c r="Q2386" s="499"/>
    </row>
    <row r="2387" spans="1:17" ht="14.4" x14ac:dyDescent="0.3">
      <c r="A2387" s="502" t="s">
        <v>3824</v>
      </c>
      <c r="B2387" s="503" t="s">
        <v>3825</v>
      </c>
      <c r="C2387" s="514">
        <v>0</v>
      </c>
      <c r="D2387" s="514">
        <v>0</v>
      </c>
      <c r="E2387" s="514">
        <v>0</v>
      </c>
      <c r="F2387" s="514">
        <v>0</v>
      </c>
      <c r="G2387" s="514">
        <v>0</v>
      </c>
      <c r="H2387" s="514">
        <v>0</v>
      </c>
      <c r="I2387" s="514">
        <v>0</v>
      </c>
      <c r="J2387" s="514">
        <v>0</v>
      </c>
      <c r="K2387" s="514">
        <v>0</v>
      </c>
      <c r="L2387" s="514">
        <v>0</v>
      </c>
      <c r="M2387" s="514">
        <v>0</v>
      </c>
      <c r="N2387" s="514">
        <v>0</v>
      </c>
      <c r="O2387" s="499"/>
      <c r="P2387" s="499"/>
      <c r="Q2387" s="499"/>
    </row>
    <row r="2388" spans="1:17" ht="14.4" x14ac:dyDescent="0.3">
      <c r="A2388" s="502" t="s">
        <v>3826</v>
      </c>
      <c r="B2388" s="503" t="s">
        <v>3827</v>
      </c>
      <c r="C2388" s="514">
        <v>0</v>
      </c>
      <c r="D2388" s="514">
        <v>0</v>
      </c>
      <c r="E2388" s="514">
        <v>0</v>
      </c>
      <c r="F2388" s="514">
        <v>0</v>
      </c>
      <c r="G2388" s="514">
        <v>0</v>
      </c>
      <c r="H2388" s="514">
        <v>0</v>
      </c>
      <c r="I2388" s="514">
        <v>0</v>
      </c>
      <c r="J2388" s="514">
        <v>0</v>
      </c>
      <c r="K2388" s="514">
        <v>0</v>
      </c>
      <c r="L2388" s="514">
        <v>0</v>
      </c>
      <c r="M2388" s="514">
        <v>0</v>
      </c>
      <c r="N2388" s="514">
        <v>0</v>
      </c>
      <c r="O2388" s="499"/>
      <c r="P2388" s="499"/>
      <c r="Q2388" s="499"/>
    </row>
    <row r="2389" spans="1:17" ht="14.4" x14ac:dyDescent="0.3">
      <c r="A2389" s="502" t="s">
        <v>3828</v>
      </c>
      <c r="B2389" s="503" t="s">
        <v>3829</v>
      </c>
      <c r="C2389" s="514">
        <v>0</v>
      </c>
      <c r="D2389" s="514">
        <v>0</v>
      </c>
      <c r="E2389" s="514">
        <v>0</v>
      </c>
      <c r="F2389" s="514">
        <v>0</v>
      </c>
      <c r="G2389" s="514">
        <v>0</v>
      </c>
      <c r="H2389" s="514">
        <v>0</v>
      </c>
      <c r="I2389" s="514">
        <v>0</v>
      </c>
      <c r="J2389" s="514">
        <v>0</v>
      </c>
      <c r="K2389" s="514">
        <v>0</v>
      </c>
      <c r="L2389" s="514">
        <v>0</v>
      </c>
      <c r="M2389" s="514">
        <v>0</v>
      </c>
      <c r="N2389" s="514">
        <v>0</v>
      </c>
      <c r="O2389" s="499"/>
      <c r="P2389" s="499"/>
      <c r="Q2389" s="499"/>
    </row>
    <row r="2390" spans="1:17" ht="14.4" x14ac:dyDescent="0.3">
      <c r="A2390" s="502" t="s">
        <v>3830</v>
      </c>
      <c r="B2390" s="503" t="s">
        <v>3831</v>
      </c>
      <c r="C2390" s="514">
        <v>0</v>
      </c>
      <c r="D2390" s="514">
        <v>0</v>
      </c>
      <c r="E2390" s="514">
        <v>0</v>
      </c>
      <c r="F2390" s="514">
        <v>0</v>
      </c>
      <c r="G2390" s="514">
        <v>0</v>
      </c>
      <c r="H2390" s="514">
        <v>0</v>
      </c>
      <c r="I2390" s="514">
        <v>0</v>
      </c>
      <c r="J2390" s="514">
        <v>0</v>
      </c>
      <c r="K2390" s="514">
        <v>0</v>
      </c>
      <c r="L2390" s="514">
        <v>0</v>
      </c>
      <c r="M2390" s="514">
        <v>0</v>
      </c>
      <c r="N2390" s="514">
        <v>0</v>
      </c>
      <c r="O2390" s="499"/>
      <c r="P2390" s="499"/>
      <c r="Q2390" s="499"/>
    </row>
    <row r="2391" spans="1:17" ht="14.4" x14ac:dyDescent="0.3">
      <c r="A2391" s="502" t="s">
        <v>3832</v>
      </c>
      <c r="B2391" s="503" t="s">
        <v>3833</v>
      </c>
      <c r="C2391" s="514">
        <v>0</v>
      </c>
      <c r="D2391" s="514">
        <v>0</v>
      </c>
      <c r="E2391" s="514">
        <v>0</v>
      </c>
      <c r="F2391" s="514">
        <v>0</v>
      </c>
      <c r="G2391" s="514">
        <v>0</v>
      </c>
      <c r="H2391" s="514">
        <v>0</v>
      </c>
      <c r="I2391" s="514">
        <v>0</v>
      </c>
      <c r="J2391" s="514">
        <v>0</v>
      </c>
      <c r="K2391" s="514">
        <v>0</v>
      </c>
      <c r="L2391" s="514">
        <v>0</v>
      </c>
      <c r="M2391" s="514">
        <v>0</v>
      </c>
      <c r="N2391" s="514">
        <v>0</v>
      </c>
      <c r="O2391" s="499"/>
      <c r="P2391" s="499"/>
      <c r="Q2391" s="499"/>
    </row>
    <row r="2392" spans="1:17" ht="14.4" x14ac:dyDescent="0.3">
      <c r="A2392" s="502" t="s">
        <v>3834</v>
      </c>
      <c r="B2392" s="503" t="s">
        <v>3835</v>
      </c>
      <c r="C2392" s="514">
        <v>0</v>
      </c>
      <c r="D2392" s="514">
        <v>0</v>
      </c>
      <c r="E2392" s="514">
        <v>0</v>
      </c>
      <c r="F2392" s="514">
        <v>0</v>
      </c>
      <c r="G2392" s="514">
        <v>0</v>
      </c>
      <c r="H2392" s="514">
        <v>0</v>
      </c>
      <c r="I2392" s="514">
        <v>0</v>
      </c>
      <c r="J2392" s="514">
        <v>0</v>
      </c>
      <c r="K2392" s="514">
        <v>0</v>
      </c>
      <c r="L2392" s="514">
        <v>0</v>
      </c>
      <c r="M2392" s="514">
        <v>0</v>
      </c>
      <c r="N2392" s="514">
        <v>0</v>
      </c>
      <c r="O2392" s="499"/>
      <c r="P2392" s="499"/>
      <c r="Q2392" s="499"/>
    </row>
    <row r="2393" spans="1:17" ht="14.4" x14ac:dyDescent="0.3">
      <c r="A2393" s="502" t="s">
        <v>3836</v>
      </c>
      <c r="B2393" s="503" t="s">
        <v>3837</v>
      </c>
      <c r="C2393" s="514">
        <v>0</v>
      </c>
      <c r="D2393" s="514">
        <v>0</v>
      </c>
      <c r="E2393" s="514">
        <v>0</v>
      </c>
      <c r="F2393" s="514">
        <v>0</v>
      </c>
      <c r="G2393" s="514">
        <v>0</v>
      </c>
      <c r="H2393" s="514">
        <v>0</v>
      </c>
      <c r="I2393" s="514">
        <v>0</v>
      </c>
      <c r="J2393" s="514">
        <v>0</v>
      </c>
      <c r="K2393" s="514">
        <v>0</v>
      </c>
      <c r="L2393" s="514">
        <v>0</v>
      </c>
      <c r="M2393" s="514">
        <v>0</v>
      </c>
      <c r="N2393" s="514">
        <v>0</v>
      </c>
      <c r="O2393" s="499"/>
      <c r="P2393" s="499"/>
      <c r="Q2393" s="499"/>
    </row>
    <row r="2394" spans="1:17" ht="14.4" x14ac:dyDescent="0.3">
      <c r="A2394" s="502" t="s">
        <v>3838</v>
      </c>
      <c r="B2394" s="503" t="s">
        <v>3839</v>
      </c>
      <c r="C2394" s="514">
        <v>0</v>
      </c>
      <c r="D2394" s="514">
        <v>0</v>
      </c>
      <c r="E2394" s="514">
        <v>0</v>
      </c>
      <c r="F2394" s="514">
        <v>0</v>
      </c>
      <c r="G2394" s="514">
        <v>0</v>
      </c>
      <c r="H2394" s="514">
        <v>0</v>
      </c>
      <c r="I2394" s="514">
        <v>0</v>
      </c>
      <c r="J2394" s="514">
        <v>0</v>
      </c>
      <c r="K2394" s="514">
        <v>0</v>
      </c>
      <c r="L2394" s="514">
        <v>0</v>
      </c>
      <c r="M2394" s="514">
        <v>0</v>
      </c>
      <c r="N2394" s="514">
        <v>0</v>
      </c>
      <c r="O2394" s="499"/>
      <c r="P2394" s="499"/>
      <c r="Q2394" s="499"/>
    </row>
    <row r="2395" spans="1:17" ht="14.4" x14ac:dyDescent="0.3">
      <c r="A2395" s="502" t="s">
        <v>3840</v>
      </c>
      <c r="B2395" s="503" t="s">
        <v>3841</v>
      </c>
      <c r="C2395" s="514">
        <v>0</v>
      </c>
      <c r="D2395" s="514">
        <v>0</v>
      </c>
      <c r="E2395" s="514">
        <v>0</v>
      </c>
      <c r="F2395" s="514">
        <v>0</v>
      </c>
      <c r="G2395" s="514">
        <v>0</v>
      </c>
      <c r="H2395" s="514">
        <v>0</v>
      </c>
      <c r="I2395" s="514">
        <v>0</v>
      </c>
      <c r="J2395" s="514">
        <v>0</v>
      </c>
      <c r="K2395" s="514">
        <v>0</v>
      </c>
      <c r="L2395" s="514">
        <v>0</v>
      </c>
      <c r="M2395" s="514">
        <v>0</v>
      </c>
      <c r="N2395" s="514">
        <v>0</v>
      </c>
      <c r="O2395" s="499"/>
      <c r="P2395" s="499"/>
      <c r="Q2395" s="499"/>
    </row>
    <row r="2396" spans="1:17" ht="14.4" x14ac:dyDescent="0.3">
      <c r="A2396" s="502" t="s">
        <v>3842</v>
      </c>
      <c r="B2396" s="503" t="s">
        <v>3843</v>
      </c>
      <c r="C2396" s="514">
        <v>0</v>
      </c>
      <c r="D2396" s="514">
        <v>0</v>
      </c>
      <c r="E2396" s="514">
        <v>0</v>
      </c>
      <c r="F2396" s="514">
        <v>0</v>
      </c>
      <c r="G2396" s="514">
        <v>0</v>
      </c>
      <c r="H2396" s="514">
        <v>0</v>
      </c>
      <c r="I2396" s="514">
        <v>0</v>
      </c>
      <c r="J2396" s="514">
        <v>0</v>
      </c>
      <c r="K2396" s="514">
        <v>0</v>
      </c>
      <c r="L2396" s="514">
        <v>0</v>
      </c>
      <c r="M2396" s="514">
        <v>0</v>
      </c>
      <c r="N2396" s="514">
        <v>0</v>
      </c>
      <c r="O2396" s="499"/>
      <c r="P2396" s="499"/>
      <c r="Q2396" s="499"/>
    </row>
    <row r="2397" spans="1:17" ht="14.4" x14ac:dyDescent="0.3">
      <c r="A2397" s="502" t="s">
        <v>3844</v>
      </c>
      <c r="B2397" s="503" t="s">
        <v>1388</v>
      </c>
      <c r="C2397" s="514">
        <v>987078.22</v>
      </c>
      <c r="D2397" s="514">
        <v>945864.13</v>
      </c>
      <c r="E2397" s="514">
        <v>945864.13</v>
      </c>
      <c r="F2397" s="514">
        <v>976667.61</v>
      </c>
      <c r="G2397" s="514">
        <v>997738.13</v>
      </c>
      <c r="H2397" s="514">
        <v>934526.52</v>
      </c>
      <c r="I2397" s="514">
        <v>997738.13</v>
      </c>
      <c r="J2397" s="514">
        <v>976667.61</v>
      </c>
      <c r="K2397" s="514">
        <v>955597.09</v>
      </c>
      <c r="L2397" s="514">
        <v>997738.13</v>
      </c>
      <c r="M2397" s="514">
        <v>955597.09</v>
      </c>
      <c r="N2397" s="514">
        <v>976667.61</v>
      </c>
      <c r="O2397" s="499"/>
      <c r="P2397" s="499"/>
      <c r="Q2397" s="499"/>
    </row>
    <row r="2398" spans="1:17" ht="14.4" x14ac:dyDescent="0.3">
      <c r="A2398" s="502" t="s">
        <v>3845</v>
      </c>
      <c r="B2398" s="503" t="s">
        <v>1390</v>
      </c>
      <c r="C2398" s="514">
        <v>165</v>
      </c>
      <c r="D2398" s="514">
        <v>165</v>
      </c>
      <c r="E2398" s="514">
        <v>165</v>
      </c>
      <c r="F2398" s="514">
        <v>165</v>
      </c>
      <c r="G2398" s="514">
        <v>165</v>
      </c>
      <c r="H2398" s="514">
        <v>165</v>
      </c>
      <c r="I2398" s="514">
        <v>165</v>
      </c>
      <c r="J2398" s="514">
        <v>165</v>
      </c>
      <c r="K2398" s="514">
        <v>165</v>
      </c>
      <c r="L2398" s="514">
        <v>165</v>
      </c>
      <c r="M2398" s="514">
        <v>165</v>
      </c>
      <c r="N2398" s="514">
        <v>165</v>
      </c>
      <c r="O2398" s="499"/>
      <c r="P2398" s="499"/>
      <c r="Q2398" s="499"/>
    </row>
    <row r="2399" spans="1:17" ht="14.4" x14ac:dyDescent="0.3">
      <c r="A2399" s="502" t="s">
        <v>3846</v>
      </c>
      <c r="B2399" s="503" t="s">
        <v>1392</v>
      </c>
      <c r="C2399" s="514">
        <v>0</v>
      </c>
      <c r="D2399" s="514">
        <v>0</v>
      </c>
      <c r="E2399" s="514">
        <v>0</v>
      </c>
      <c r="F2399" s="514">
        <v>0</v>
      </c>
      <c r="G2399" s="514">
        <v>0</v>
      </c>
      <c r="H2399" s="514">
        <v>0</v>
      </c>
      <c r="I2399" s="514">
        <v>0</v>
      </c>
      <c r="J2399" s="514">
        <v>0</v>
      </c>
      <c r="K2399" s="514">
        <v>0</v>
      </c>
      <c r="L2399" s="514">
        <v>0</v>
      </c>
      <c r="M2399" s="514">
        <v>0</v>
      </c>
      <c r="N2399" s="514">
        <v>0</v>
      </c>
      <c r="O2399" s="499"/>
      <c r="P2399" s="499"/>
      <c r="Q2399" s="499"/>
    </row>
    <row r="2400" spans="1:17" ht="14.4" x14ac:dyDescent="0.3">
      <c r="A2400" s="502" t="s">
        <v>3847</v>
      </c>
      <c r="B2400" s="503" t="s">
        <v>1394</v>
      </c>
      <c r="C2400" s="514">
        <v>25000</v>
      </c>
      <c r="D2400" s="514">
        <v>25000</v>
      </c>
      <c r="E2400" s="514">
        <v>25000</v>
      </c>
      <c r="F2400" s="514">
        <v>25000</v>
      </c>
      <c r="G2400" s="514">
        <v>25000</v>
      </c>
      <c r="H2400" s="514">
        <v>25000</v>
      </c>
      <c r="I2400" s="514">
        <v>25000</v>
      </c>
      <c r="J2400" s="514">
        <v>25000</v>
      </c>
      <c r="K2400" s="514">
        <v>25000</v>
      </c>
      <c r="L2400" s="514">
        <v>25000</v>
      </c>
      <c r="M2400" s="514">
        <v>25000</v>
      </c>
      <c r="N2400" s="514">
        <v>25000</v>
      </c>
      <c r="O2400" s="499"/>
      <c r="P2400" s="499"/>
      <c r="Q2400" s="499"/>
    </row>
    <row r="2401" spans="1:17" ht="14.4" x14ac:dyDescent="0.3">
      <c r="A2401" s="502" t="s">
        <v>3848</v>
      </c>
      <c r="B2401" s="503" t="s">
        <v>1396</v>
      </c>
      <c r="C2401" s="514">
        <v>0</v>
      </c>
      <c r="D2401" s="514">
        <v>0</v>
      </c>
      <c r="E2401" s="514">
        <v>0</v>
      </c>
      <c r="F2401" s="514">
        <v>0</v>
      </c>
      <c r="G2401" s="514">
        <v>0</v>
      </c>
      <c r="H2401" s="514">
        <v>0</v>
      </c>
      <c r="I2401" s="514">
        <v>0</v>
      </c>
      <c r="J2401" s="514">
        <v>0</v>
      </c>
      <c r="K2401" s="514">
        <v>0</v>
      </c>
      <c r="L2401" s="514">
        <v>0</v>
      </c>
      <c r="M2401" s="514">
        <v>0</v>
      </c>
      <c r="N2401" s="514">
        <v>0</v>
      </c>
      <c r="O2401" s="499"/>
      <c r="P2401" s="499"/>
      <c r="Q2401" s="499"/>
    </row>
    <row r="2402" spans="1:17" ht="14.4" x14ac:dyDescent="0.3">
      <c r="A2402" s="502" t="s">
        <v>3849</v>
      </c>
      <c r="B2402" s="503" t="s">
        <v>3850</v>
      </c>
      <c r="C2402" s="514">
        <v>0</v>
      </c>
      <c r="D2402" s="514">
        <v>0</v>
      </c>
      <c r="E2402" s="514">
        <v>0</v>
      </c>
      <c r="F2402" s="514">
        <v>0</v>
      </c>
      <c r="G2402" s="514">
        <v>0</v>
      </c>
      <c r="H2402" s="514">
        <v>0</v>
      </c>
      <c r="I2402" s="514">
        <v>0</v>
      </c>
      <c r="J2402" s="514">
        <v>0</v>
      </c>
      <c r="K2402" s="514">
        <v>0</v>
      </c>
      <c r="L2402" s="514">
        <v>0</v>
      </c>
      <c r="M2402" s="514">
        <v>0</v>
      </c>
      <c r="N2402" s="514">
        <v>0</v>
      </c>
      <c r="O2402" s="499"/>
      <c r="P2402" s="499"/>
      <c r="Q2402" s="499"/>
    </row>
    <row r="2403" spans="1:17" ht="14.4" x14ac:dyDescent="0.3">
      <c r="A2403" s="502" t="s">
        <v>3851</v>
      </c>
      <c r="B2403" s="503" t="s">
        <v>3852</v>
      </c>
      <c r="C2403" s="514">
        <v>0</v>
      </c>
      <c r="D2403" s="514">
        <v>0</v>
      </c>
      <c r="E2403" s="514">
        <v>0</v>
      </c>
      <c r="F2403" s="514">
        <v>0</v>
      </c>
      <c r="G2403" s="514">
        <v>0</v>
      </c>
      <c r="H2403" s="514">
        <v>0</v>
      </c>
      <c r="I2403" s="514">
        <v>0</v>
      </c>
      <c r="J2403" s="514">
        <v>0</v>
      </c>
      <c r="K2403" s="514">
        <v>0</v>
      </c>
      <c r="L2403" s="514">
        <v>0</v>
      </c>
      <c r="M2403" s="514">
        <v>0</v>
      </c>
      <c r="N2403" s="514">
        <v>0</v>
      </c>
      <c r="O2403" s="499"/>
      <c r="P2403" s="499"/>
      <c r="Q2403" s="499"/>
    </row>
    <row r="2404" spans="1:17" ht="14.4" x14ac:dyDescent="0.3">
      <c r="A2404" s="502" t="s">
        <v>3853</v>
      </c>
      <c r="B2404" s="503" t="s">
        <v>3854</v>
      </c>
      <c r="C2404" s="514">
        <v>0</v>
      </c>
      <c r="D2404" s="514">
        <v>0</v>
      </c>
      <c r="E2404" s="514">
        <v>0</v>
      </c>
      <c r="F2404" s="514">
        <v>0</v>
      </c>
      <c r="G2404" s="514">
        <v>0</v>
      </c>
      <c r="H2404" s="514">
        <v>0</v>
      </c>
      <c r="I2404" s="514">
        <v>0</v>
      </c>
      <c r="J2404" s="514">
        <v>0</v>
      </c>
      <c r="K2404" s="514">
        <v>0</v>
      </c>
      <c r="L2404" s="514">
        <v>0</v>
      </c>
      <c r="M2404" s="514">
        <v>0</v>
      </c>
      <c r="N2404" s="514">
        <v>0</v>
      </c>
      <c r="O2404" s="499"/>
      <c r="P2404" s="499"/>
      <c r="Q2404" s="499"/>
    </row>
    <row r="2405" spans="1:17" ht="14.4" x14ac:dyDescent="0.3">
      <c r="A2405" s="502" t="s">
        <v>3855</v>
      </c>
      <c r="B2405" s="503" t="s">
        <v>1422</v>
      </c>
      <c r="C2405" s="514">
        <v>17511</v>
      </c>
      <c r="D2405" s="514">
        <v>38211</v>
      </c>
      <c r="E2405" s="514">
        <v>2211</v>
      </c>
      <c r="F2405" s="514">
        <v>2211</v>
      </c>
      <c r="G2405" s="514">
        <v>29211</v>
      </c>
      <c r="H2405" s="514">
        <v>2211</v>
      </c>
      <c r="I2405" s="514">
        <v>2211</v>
      </c>
      <c r="J2405" s="514">
        <v>2211</v>
      </c>
      <c r="K2405" s="514">
        <v>2211</v>
      </c>
      <c r="L2405" s="514">
        <v>2211</v>
      </c>
      <c r="M2405" s="514">
        <v>2211</v>
      </c>
      <c r="N2405" s="514">
        <v>2211</v>
      </c>
      <c r="O2405" s="499"/>
      <c r="P2405" s="499"/>
      <c r="Q2405" s="499"/>
    </row>
    <row r="2406" spans="1:17" ht="14.4" x14ac:dyDescent="0.3">
      <c r="A2406" s="502" t="s">
        <v>3856</v>
      </c>
      <c r="B2406" s="503" t="s">
        <v>3857</v>
      </c>
      <c r="C2406" s="514">
        <v>0</v>
      </c>
      <c r="D2406" s="514">
        <v>0</v>
      </c>
      <c r="E2406" s="514">
        <v>0</v>
      </c>
      <c r="F2406" s="514">
        <v>0</v>
      </c>
      <c r="G2406" s="514">
        <v>0</v>
      </c>
      <c r="H2406" s="514">
        <v>0</v>
      </c>
      <c r="I2406" s="514">
        <v>0</v>
      </c>
      <c r="J2406" s="514">
        <v>0</v>
      </c>
      <c r="K2406" s="514">
        <v>0</v>
      </c>
      <c r="L2406" s="514">
        <v>0</v>
      </c>
      <c r="M2406" s="514">
        <v>0</v>
      </c>
      <c r="N2406" s="514">
        <v>0</v>
      </c>
      <c r="O2406" s="499"/>
      <c r="P2406" s="499"/>
      <c r="Q2406" s="499"/>
    </row>
    <row r="2407" spans="1:17" ht="14.4" x14ac:dyDescent="0.3">
      <c r="A2407" s="502" t="s">
        <v>3858</v>
      </c>
      <c r="B2407" s="503" t="s">
        <v>3859</v>
      </c>
      <c r="C2407" s="514">
        <v>0</v>
      </c>
      <c r="D2407" s="514">
        <v>0</v>
      </c>
      <c r="E2407" s="514">
        <v>0</v>
      </c>
      <c r="F2407" s="514">
        <v>0</v>
      </c>
      <c r="G2407" s="514">
        <v>0</v>
      </c>
      <c r="H2407" s="514">
        <v>0</v>
      </c>
      <c r="I2407" s="514">
        <v>0</v>
      </c>
      <c r="J2407" s="514">
        <v>0</v>
      </c>
      <c r="K2407" s="514">
        <v>0</v>
      </c>
      <c r="L2407" s="514">
        <v>0</v>
      </c>
      <c r="M2407" s="514">
        <v>0</v>
      </c>
      <c r="N2407" s="514">
        <v>0</v>
      </c>
      <c r="O2407" s="499"/>
      <c r="P2407" s="499"/>
      <c r="Q2407" s="499"/>
    </row>
    <row r="2408" spans="1:17" ht="14.4" x14ac:dyDescent="0.3">
      <c r="A2408" s="502" t="s">
        <v>3860</v>
      </c>
      <c r="B2408" s="503" t="s">
        <v>3861</v>
      </c>
      <c r="C2408" s="514">
        <v>0</v>
      </c>
      <c r="D2408" s="514">
        <v>0</v>
      </c>
      <c r="E2408" s="514">
        <v>0</v>
      </c>
      <c r="F2408" s="514">
        <v>0</v>
      </c>
      <c r="G2408" s="514">
        <v>0</v>
      </c>
      <c r="H2408" s="514">
        <v>0</v>
      </c>
      <c r="I2408" s="514">
        <v>0</v>
      </c>
      <c r="J2408" s="514">
        <v>0</v>
      </c>
      <c r="K2408" s="514">
        <v>0</v>
      </c>
      <c r="L2408" s="514">
        <v>0</v>
      </c>
      <c r="M2408" s="514">
        <v>0</v>
      </c>
      <c r="N2408" s="514">
        <v>0</v>
      </c>
      <c r="O2408" s="499"/>
      <c r="P2408" s="499"/>
      <c r="Q2408" s="499"/>
    </row>
    <row r="2409" spans="1:17" ht="14.4" x14ac:dyDescent="0.3">
      <c r="A2409" s="502" t="s">
        <v>3862</v>
      </c>
      <c r="B2409" s="503" t="s">
        <v>3863</v>
      </c>
      <c r="C2409" s="514">
        <v>0</v>
      </c>
      <c r="D2409" s="514">
        <v>0</v>
      </c>
      <c r="E2409" s="514">
        <v>0</v>
      </c>
      <c r="F2409" s="514">
        <v>0</v>
      </c>
      <c r="G2409" s="514">
        <v>0</v>
      </c>
      <c r="H2409" s="514">
        <v>0</v>
      </c>
      <c r="I2409" s="514">
        <v>0</v>
      </c>
      <c r="J2409" s="514">
        <v>0</v>
      </c>
      <c r="K2409" s="514">
        <v>0</v>
      </c>
      <c r="L2409" s="514">
        <v>0</v>
      </c>
      <c r="M2409" s="514">
        <v>0</v>
      </c>
      <c r="N2409" s="514">
        <v>0</v>
      </c>
      <c r="O2409" s="499"/>
      <c r="P2409" s="499"/>
      <c r="Q2409" s="499"/>
    </row>
    <row r="2410" spans="1:17" ht="14.4" x14ac:dyDescent="0.3">
      <c r="A2410" s="502" t="s">
        <v>3864</v>
      </c>
      <c r="B2410" s="503" t="s">
        <v>3865</v>
      </c>
      <c r="C2410" s="514">
        <v>0</v>
      </c>
      <c r="D2410" s="514">
        <v>0</v>
      </c>
      <c r="E2410" s="514">
        <v>0</v>
      </c>
      <c r="F2410" s="514">
        <v>0</v>
      </c>
      <c r="G2410" s="514">
        <v>0</v>
      </c>
      <c r="H2410" s="514">
        <v>0</v>
      </c>
      <c r="I2410" s="514">
        <v>0</v>
      </c>
      <c r="J2410" s="514">
        <v>0</v>
      </c>
      <c r="K2410" s="514">
        <v>0</v>
      </c>
      <c r="L2410" s="514">
        <v>0</v>
      </c>
      <c r="M2410" s="514">
        <v>0</v>
      </c>
      <c r="N2410" s="514">
        <v>0</v>
      </c>
      <c r="O2410" s="499"/>
      <c r="P2410" s="499"/>
      <c r="Q2410" s="499"/>
    </row>
    <row r="2411" spans="1:17" ht="14.4" x14ac:dyDescent="0.3">
      <c r="A2411" s="502" t="s">
        <v>3866</v>
      </c>
      <c r="B2411" s="503" t="s">
        <v>1398</v>
      </c>
      <c r="C2411" s="514">
        <v>2054846.66</v>
      </c>
      <c r="D2411" s="514">
        <v>2054846.66</v>
      </c>
      <c r="E2411" s="514">
        <v>2066502.46</v>
      </c>
      <c r="F2411" s="514">
        <v>2066502.46</v>
      </c>
      <c r="G2411" s="514">
        <v>2067597.93</v>
      </c>
      <c r="H2411" s="514">
        <v>2096043.61</v>
      </c>
      <c r="I2411" s="514">
        <v>2173050.54</v>
      </c>
      <c r="J2411" s="514">
        <v>2136490.41</v>
      </c>
      <c r="K2411" s="514">
        <v>2136490.41</v>
      </c>
      <c r="L2411" s="514">
        <v>2137385.9500000002</v>
      </c>
      <c r="M2411" s="514">
        <v>2137385.9500000002</v>
      </c>
      <c r="N2411" s="514">
        <v>2168176.7400000002</v>
      </c>
      <c r="O2411" s="499"/>
      <c r="P2411" s="499"/>
      <c r="Q2411" s="499"/>
    </row>
    <row r="2412" spans="1:17" ht="14.4" x14ac:dyDescent="0.3">
      <c r="A2412" s="502" t="s">
        <v>3867</v>
      </c>
      <c r="B2412" s="503" t="s">
        <v>1400</v>
      </c>
      <c r="C2412" s="514">
        <v>0</v>
      </c>
      <c r="D2412" s="514">
        <v>0</v>
      </c>
      <c r="E2412" s="514">
        <v>0</v>
      </c>
      <c r="F2412" s="514">
        <v>0</v>
      </c>
      <c r="G2412" s="514">
        <v>0</v>
      </c>
      <c r="H2412" s="514">
        <v>0</v>
      </c>
      <c r="I2412" s="514">
        <v>0</v>
      </c>
      <c r="J2412" s="514">
        <v>0</v>
      </c>
      <c r="K2412" s="514">
        <v>0</v>
      </c>
      <c r="L2412" s="514">
        <v>0</v>
      </c>
      <c r="M2412" s="514">
        <v>0</v>
      </c>
      <c r="N2412" s="514">
        <v>0</v>
      </c>
      <c r="O2412" s="499"/>
      <c r="P2412" s="499"/>
      <c r="Q2412" s="499"/>
    </row>
    <row r="2413" spans="1:17" ht="14.4" x14ac:dyDescent="0.3">
      <c r="A2413" s="502" t="s">
        <v>3868</v>
      </c>
      <c r="B2413" s="503" t="s">
        <v>1402</v>
      </c>
      <c r="C2413" s="514">
        <v>16101.41</v>
      </c>
      <c r="D2413" s="514">
        <v>14249.38</v>
      </c>
      <c r="E2413" s="514">
        <v>14249.38</v>
      </c>
      <c r="F2413" s="514">
        <v>15487.72</v>
      </c>
      <c r="G2413" s="514">
        <v>16191.71</v>
      </c>
      <c r="H2413" s="514">
        <v>14079.75</v>
      </c>
      <c r="I2413" s="514">
        <v>16191.71</v>
      </c>
      <c r="J2413" s="514">
        <v>15487.72</v>
      </c>
      <c r="K2413" s="514">
        <v>14783.73</v>
      </c>
      <c r="L2413" s="514">
        <v>16191.71</v>
      </c>
      <c r="M2413" s="514">
        <v>14783.73</v>
      </c>
      <c r="N2413" s="514">
        <v>15487.72</v>
      </c>
      <c r="O2413" s="499"/>
      <c r="P2413" s="499"/>
      <c r="Q2413" s="499"/>
    </row>
    <row r="2414" spans="1:17" ht="14.4" x14ac:dyDescent="0.3">
      <c r="A2414" s="502" t="s">
        <v>3869</v>
      </c>
      <c r="B2414" s="503" t="s">
        <v>1404</v>
      </c>
      <c r="C2414" s="514">
        <v>0</v>
      </c>
      <c r="D2414" s="514">
        <v>0</v>
      </c>
      <c r="E2414" s="514">
        <v>0</v>
      </c>
      <c r="F2414" s="514">
        <v>0</v>
      </c>
      <c r="G2414" s="514">
        <v>0</v>
      </c>
      <c r="H2414" s="514">
        <v>0</v>
      </c>
      <c r="I2414" s="514">
        <v>0</v>
      </c>
      <c r="J2414" s="514">
        <v>0</v>
      </c>
      <c r="K2414" s="514">
        <v>0</v>
      </c>
      <c r="L2414" s="514">
        <v>0</v>
      </c>
      <c r="M2414" s="514">
        <v>0</v>
      </c>
      <c r="N2414" s="514">
        <v>0</v>
      </c>
      <c r="O2414" s="499"/>
      <c r="P2414" s="499"/>
      <c r="Q2414" s="499"/>
    </row>
    <row r="2415" spans="1:17" ht="14.4" x14ac:dyDescent="0.3">
      <c r="A2415" s="502" t="s">
        <v>3870</v>
      </c>
      <c r="B2415" s="503" t="s">
        <v>3871</v>
      </c>
      <c r="C2415" s="514">
        <v>0</v>
      </c>
      <c r="D2415" s="514">
        <v>0</v>
      </c>
      <c r="E2415" s="514">
        <v>0</v>
      </c>
      <c r="F2415" s="514">
        <v>0</v>
      </c>
      <c r="G2415" s="514">
        <v>0</v>
      </c>
      <c r="H2415" s="514">
        <v>0</v>
      </c>
      <c r="I2415" s="514">
        <v>0</v>
      </c>
      <c r="J2415" s="514">
        <v>0</v>
      </c>
      <c r="K2415" s="514">
        <v>0</v>
      </c>
      <c r="L2415" s="514">
        <v>0</v>
      </c>
      <c r="M2415" s="514">
        <v>0</v>
      </c>
      <c r="N2415" s="514">
        <v>0</v>
      </c>
      <c r="O2415" s="499"/>
      <c r="P2415" s="499"/>
      <c r="Q2415" s="499"/>
    </row>
    <row r="2416" spans="1:17" ht="14.4" x14ac:dyDescent="0.3">
      <c r="A2416" s="502" t="s">
        <v>3872</v>
      </c>
      <c r="B2416" s="503" t="s">
        <v>3873</v>
      </c>
      <c r="C2416" s="514">
        <v>0</v>
      </c>
      <c r="D2416" s="514">
        <v>0</v>
      </c>
      <c r="E2416" s="514">
        <v>0</v>
      </c>
      <c r="F2416" s="514">
        <v>0</v>
      </c>
      <c r="G2416" s="514">
        <v>0</v>
      </c>
      <c r="H2416" s="514">
        <v>0</v>
      </c>
      <c r="I2416" s="514">
        <v>0</v>
      </c>
      <c r="J2416" s="514">
        <v>0</v>
      </c>
      <c r="K2416" s="514">
        <v>0</v>
      </c>
      <c r="L2416" s="514">
        <v>0</v>
      </c>
      <c r="M2416" s="514">
        <v>0</v>
      </c>
      <c r="N2416" s="514">
        <v>0</v>
      </c>
      <c r="O2416" s="499"/>
      <c r="P2416" s="499"/>
      <c r="Q2416" s="499"/>
    </row>
    <row r="2417" spans="1:17" ht="14.4" x14ac:dyDescent="0.3">
      <c r="A2417" s="502" t="s">
        <v>3874</v>
      </c>
      <c r="B2417" s="503" t="s">
        <v>3875</v>
      </c>
      <c r="C2417" s="514">
        <v>0</v>
      </c>
      <c r="D2417" s="514">
        <v>0</v>
      </c>
      <c r="E2417" s="514">
        <v>0</v>
      </c>
      <c r="F2417" s="514">
        <v>0</v>
      </c>
      <c r="G2417" s="514">
        <v>0</v>
      </c>
      <c r="H2417" s="514">
        <v>0</v>
      </c>
      <c r="I2417" s="514">
        <v>0</v>
      </c>
      <c r="J2417" s="514">
        <v>0</v>
      </c>
      <c r="K2417" s="514">
        <v>0</v>
      </c>
      <c r="L2417" s="514">
        <v>0</v>
      </c>
      <c r="M2417" s="514">
        <v>0</v>
      </c>
      <c r="N2417" s="514">
        <v>0</v>
      </c>
      <c r="O2417" s="499"/>
      <c r="P2417" s="499"/>
      <c r="Q2417" s="499"/>
    </row>
    <row r="2418" spans="1:17" ht="14.4" x14ac:dyDescent="0.3">
      <c r="A2418" s="502" t="s">
        <v>3876</v>
      </c>
      <c r="B2418" s="503" t="s">
        <v>3877</v>
      </c>
      <c r="C2418" s="514">
        <v>0</v>
      </c>
      <c r="D2418" s="514">
        <v>0</v>
      </c>
      <c r="E2418" s="514">
        <v>0</v>
      </c>
      <c r="F2418" s="514">
        <v>0</v>
      </c>
      <c r="G2418" s="514">
        <v>0</v>
      </c>
      <c r="H2418" s="514">
        <v>0</v>
      </c>
      <c r="I2418" s="514">
        <v>0</v>
      </c>
      <c r="J2418" s="514">
        <v>0</v>
      </c>
      <c r="K2418" s="514">
        <v>0</v>
      </c>
      <c r="L2418" s="514">
        <v>0</v>
      </c>
      <c r="M2418" s="514">
        <v>0</v>
      </c>
      <c r="N2418" s="514">
        <v>0</v>
      </c>
      <c r="O2418" s="499"/>
      <c r="P2418" s="499"/>
      <c r="Q2418" s="499"/>
    </row>
    <row r="2419" spans="1:17" ht="14.4" x14ac:dyDescent="0.3">
      <c r="A2419" s="502" t="s">
        <v>3878</v>
      </c>
      <c r="B2419" s="503" t="s">
        <v>3879</v>
      </c>
      <c r="C2419" s="514">
        <v>0</v>
      </c>
      <c r="D2419" s="514">
        <v>0</v>
      </c>
      <c r="E2419" s="514">
        <v>0</v>
      </c>
      <c r="F2419" s="514">
        <v>0</v>
      </c>
      <c r="G2419" s="514">
        <v>0</v>
      </c>
      <c r="H2419" s="514">
        <v>0</v>
      </c>
      <c r="I2419" s="514">
        <v>0</v>
      </c>
      <c r="J2419" s="514">
        <v>0</v>
      </c>
      <c r="K2419" s="514">
        <v>0</v>
      </c>
      <c r="L2419" s="514">
        <v>0</v>
      </c>
      <c r="M2419" s="514">
        <v>0</v>
      </c>
      <c r="N2419" s="514">
        <v>0</v>
      </c>
      <c r="O2419" s="499"/>
      <c r="P2419" s="499"/>
      <c r="Q2419" s="499"/>
    </row>
    <row r="2420" spans="1:17" ht="14.4" x14ac:dyDescent="0.3">
      <c r="A2420" s="502" t="s">
        <v>3880</v>
      </c>
      <c r="B2420" s="503" t="s">
        <v>3881</v>
      </c>
      <c r="C2420" s="514">
        <v>0</v>
      </c>
      <c r="D2420" s="514">
        <v>0</v>
      </c>
      <c r="E2420" s="514">
        <v>0</v>
      </c>
      <c r="F2420" s="514">
        <v>0</v>
      </c>
      <c r="G2420" s="514">
        <v>0</v>
      </c>
      <c r="H2420" s="514">
        <v>0</v>
      </c>
      <c r="I2420" s="514">
        <v>0</v>
      </c>
      <c r="J2420" s="514">
        <v>0</v>
      </c>
      <c r="K2420" s="514">
        <v>0</v>
      </c>
      <c r="L2420" s="514">
        <v>0</v>
      </c>
      <c r="M2420" s="514">
        <v>0</v>
      </c>
      <c r="N2420" s="514">
        <v>0</v>
      </c>
      <c r="O2420" s="499"/>
      <c r="P2420" s="499"/>
      <c r="Q2420" s="499"/>
    </row>
    <row r="2421" spans="1:17" ht="14.4" x14ac:dyDescent="0.3">
      <c r="A2421" s="502" t="s">
        <v>3882</v>
      </c>
      <c r="B2421" s="503" t="s">
        <v>770</v>
      </c>
      <c r="C2421" s="514">
        <v>15175520.810000001</v>
      </c>
      <c r="D2421" s="514">
        <v>13848855.15</v>
      </c>
      <c r="E2421" s="514">
        <v>13878462.49</v>
      </c>
      <c r="F2421" s="514">
        <v>14753500.810000001</v>
      </c>
      <c r="G2421" s="514">
        <v>15458487.550000001</v>
      </c>
      <c r="H2421" s="514">
        <v>13423149.720000001</v>
      </c>
      <c r="I2421" s="514">
        <v>15527885.380000001</v>
      </c>
      <c r="J2421" s="514">
        <v>14858169.279999999</v>
      </c>
      <c r="K2421" s="514">
        <v>14145031.869999999</v>
      </c>
      <c r="L2421" s="514">
        <v>15536062.49</v>
      </c>
      <c r="M2421" s="514">
        <v>14197601</v>
      </c>
      <c r="N2421" s="514">
        <v>14844985.779999999</v>
      </c>
      <c r="O2421" s="499"/>
      <c r="P2421" s="499"/>
      <c r="Q2421" s="499"/>
    </row>
    <row r="2422" spans="1:17" ht="14.4" x14ac:dyDescent="0.3">
      <c r="A2422" s="502" t="s">
        <v>3883</v>
      </c>
      <c r="B2422" s="503" t="s">
        <v>780</v>
      </c>
      <c r="C2422" s="514">
        <v>1352476.66</v>
      </c>
      <c r="D2422" s="514">
        <v>1256399.5900000001</v>
      </c>
      <c r="E2422" s="514">
        <v>1335081.06</v>
      </c>
      <c r="F2422" s="514">
        <v>1402349.46</v>
      </c>
      <c r="G2422" s="514">
        <v>1352779.75</v>
      </c>
      <c r="H2422" s="514">
        <v>1228972.8700000001</v>
      </c>
      <c r="I2422" s="514">
        <v>1432416.93</v>
      </c>
      <c r="J2422" s="514">
        <v>1347854.45</v>
      </c>
      <c r="K2422" s="514">
        <v>1297383.8400000001</v>
      </c>
      <c r="L2422" s="514">
        <v>1551458.38</v>
      </c>
      <c r="M2422" s="514">
        <v>1357157.41</v>
      </c>
      <c r="N2422" s="514">
        <v>1446360.61</v>
      </c>
      <c r="O2422" s="499"/>
      <c r="P2422" s="499"/>
      <c r="Q2422" s="499"/>
    </row>
    <row r="2423" spans="1:17" ht="14.4" x14ac:dyDescent="0.3">
      <c r="A2423" s="502" t="s">
        <v>3884</v>
      </c>
      <c r="B2423" s="503" t="s">
        <v>3885</v>
      </c>
      <c r="C2423" s="514">
        <v>0</v>
      </c>
      <c r="D2423" s="514">
        <v>0</v>
      </c>
      <c r="E2423" s="514">
        <v>0</v>
      </c>
      <c r="F2423" s="514">
        <v>0</v>
      </c>
      <c r="G2423" s="514">
        <v>0</v>
      </c>
      <c r="H2423" s="514">
        <v>0</v>
      </c>
      <c r="I2423" s="514">
        <v>0</v>
      </c>
      <c r="J2423" s="514">
        <v>0</v>
      </c>
      <c r="K2423" s="514">
        <v>0</v>
      </c>
      <c r="L2423" s="514">
        <v>0</v>
      </c>
      <c r="M2423" s="514">
        <v>0</v>
      </c>
      <c r="N2423" s="514">
        <v>0</v>
      </c>
      <c r="O2423" s="499"/>
      <c r="P2423" s="499"/>
      <c r="Q2423" s="499"/>
    </row>
    <row r="2424" spans="1:17" ht="14.4" x14ac:dyDescent="0.3">
      <c r="A2424" s="502" t="s">
        <v>3886</v>
      </c>
      <c r="B2424" s="503" t="s">
        <v>3887</v>
      </c>
      <c r="C2424" s="514">
        <v>0</v>
      </c>
      <c r="D2424" s="514">
        <v>0</v>
      </c>
      <c r="E2424" s="514">
        <v>0</v>
      </c>
      <c r="F2424" s="514">
        <v>0</v>
      </c>
      <c r="G2424" s="514">
        <v>0</v>
      </c>
      <c r="H2424" s="514">
        <v>0</v>
      </c>
      <c r="I2424" s="514">
        <v>0</v>
      </c>
      <c r="J2424" s="514">
        <v>0</v>
      </c>
      <c r="K2424" s="514">
        <v>0</v>
      </c>
      <c r="L2424" s="514">
        <v>0</v>
      </c>
      <c r="M2424" s="514">
        <v>0</v>
      </c>
      <c r="N2424" s="514">
        <v>0</v>
      </c>
      <c r="O2424" s="499"/>
      <c r="P2424" s="499"/>
      <c r="Q2424" s="499"/>
    </row>
    <row r="2425" spans="1:17" ht="14.4" x14ac:dyDescent="0.3">
      <c r="A2425" s="502" t="s">
        <v>3888</v>
      </c>
      <c r="B2425" s="503" t="s">
        <v>3889</v>
      </c>
      <c r="C2425" s="514">
        <v>47614.61</v>
      </c>
      <c r="D2425" s="514">
        <v>43474.21</v>
      </c>
      <c r="E2425" s="514">
        <v>43474.21</v>
      </c>
      <c r="F2425" s="514">
        <v>45544.41</v>
      </c>
      <c r="G2425" s="514">
        <v>47614.61</v>
      </c>
      <c r="H2425" s="514">
        <v>41404.01</v>
      </c>
      <c r="I2425" s="514">
        <v>47614.61</v>
      </c>
      <c r="J2425" s="514">
        <v>45544.41</v>
      </c>
      <c r="K2425" s="514">
        <v>43474.21</v>
      </c>
      <c r="L2425" s="514">
        <v>47614.61</v>
      </c>
      <c r="M2425" s="514">
        <v>43474.21</v>
      </c>
      <c r="N2425" s="514">
        <v>45544.41</v>
      </c>
      <c r="O2425" s="499"/>
      <c r="P2425" s="499"/>
      <c r="Q2425" s="499"/>
    </row>
    <row r="2426" spans="1:17" ht="14.4" x14ac:dyDescent="0.3">
      <c r="A2426" s="502" t="s">
        <v>3890</v>
      </c>
      <c r="B2426" s="503" t="s">
        <v>3891</v>
      </c>
      <c r="C2426" s="514">
        <v>0</v>
      </c>
      <c r="D2426" s="514">
        <v>0</v>
      </c>
      <c r="E2426" s="514">
        <v>0</v>
      </c>
      <c r="F2426" s="514">
        <v>0</v>
      </c>
      <c r="G2426" s="514">
        <v>0</v>
      </c>
      <c r="H2426" s="514">
        <v>0</v>
      </c>
      <c r="I2426" s="514">
        <v>0</v>
      </c>
      <c r="J2426" s="514">
        <v>0</v>
      </c>
      <c r="K2426" s="514">
        <v>0</v>
      </c>
      <c r="L2426" s="514">
        <v>0</v>
      </c>
      <c r="M2426" s="514">
        <v>0</v>
      </c>
      <c r="N2426" s="514">
        <v>0</v>
      </c>
      <c r="O2426" s="499"/>
      <c r="P2426" s="499"/>
      <c r="Q2426" s="499"/>
    </row>
    <row r="2427" spans="1:17" ht="14.4" x14ac:dyDescent="0.3">
      <c r="A2427" s="502" t="s">
        <v>3892</v>
      </c>
      <c r="B2427" s="503" t="s">
        <v>3893</v>
      </c>
      <c r="C2427" s="514">
        <v>0</v>
      </c>
      <c r="D2427" s="514">
        <v>0</v>
      </c>
      <c r="E2427" s="514">
        <v>0</v>
      </c>
      <c r="F2427" s="514">
        <v>0</v>
      </c>
      <c r="G2427" s="514">
        <v>0</v>
      </c>
      <c r="H2427" s="514">
        <v>0</v>
      </c>
      <c r="I2427" s="514">
        <v>0</v>
      </c>
      <c r="J2427" s="514">
        <v>0</v>
      </c>
      <c r="K2427" s="514">
        <v>0</v>
      </c>
      <c r="L2427" s="514">
        <v>0</v>
      </c>
      <c r="M2427" s="514">
        <v>0</v>
      </c>
      <c r="N2427" s="514">
        <v>0</v>
      </c>
      <c r="O2427" s="499"/>
      <c r="P2427" s="499"/>
      <c r="Q2427" s="499"/>
    </row>
    <row r="2428" spans="1:17" ht="14.4" x14ac:dyDescent="0.3">
      <c r="A2428" s="502" t="s">
        <v>3894</v>
      </c>
      <c r="B2428" s="503" t="s">
        <v>3895</v>
      </c>
      <c r="C2428" s="514">
        <v>0</v>
      </c>
      <c r="D2428" s="514">
        <v>0</v>
      </c>
      <c r="E2428" s="514">
        <v>0</v>
      </c>
      <c r="F2428" s="514">
        <v>0</v>
      </c>
      <c r="G2428" s="514">
        <v>0</v>
      </c>
      <c r="H2428" s="514">
        <v>0</v>
      </c>
      <c r="I2428" s="514">
        <v>0</v>
      </c>
      <c r="J2428" s="514">
        <v>0</v>
      </c>
      <c r="K2428" s="514">
        <v>0</v>
      </c>
      <c r="L2428" s="514">
        <v>0</v>
      </c>
      <c r="M2428" s="514">
        <v>0</v>
      </c>
      <c r="N2428" s="514">
        <v>0</v>
      </c>
      <c r="O2428" s="499"/>
      <c r="P2428" s="499"/>
      <c r="Q2428" s="499"/>
    </row>
    <row r="2429" spans="1:17" ht="14.4" x14ac:dyDescent="0.3">
      <c r="A2429" s="502" t="s">
        <v>3896</v>
      </c>
      <c r="B2429" s="503" t="s">
        <v>3897</v>
      </c>
      <c r="C2429" s="514">
        <v>0</v>
      </c>
      <c r="D2429" s="514">
        <v>0</v>
      </c>
      <c r="E2429" s="514">
        <v>0</v>
      </c>
      <c r="F2429" s="514">
        <v>0</v>
      </c>
      <c r="G2429" s="514">
        <v>0</v>
      </c>
      <c r="H2429" s="514">
        <v>0</v>
      </c>
      <c r="I2429" s="514">
        <v>0</v>
      </c>
      <c r="J2429" s="514">
        <v>0</v>
      </c>
      <c r="K2429" s="514">
        <v>0</v>
      </c>
      <c r="L2429" s="514">
        <v>0</v>
      </c>
      <c r="M2429" s="514">
        <v>0</v>
      </c>
      <c r="N2429" s="514">
        <v>0</v>
      </c>
      <c r="O2429" s="499"/>
      <c r="P2429" s="499"/>
      <c r="Q2429" s="499"/>
    </row>
    <row r="2430" spans="1:17" ht="14.4" x14ac:dyDescent="0.3">
      <c r="A2430" s="502" t="s">
        <v>3898</v>
      </c>
      <c r="B2430" s="503" t="s">
        <v>3899</v>
      </c>
      <c r="C2430" s="514">
        <v>0</v>
      </c>
      <c r="D2430" s="514">
        <v>0</v>
      </c>
      <c r="E2430" s="514">
        <v>0</v>
      </c>
      <c r="F2430" s="514">
        <v>0</v>
      </c>
      <c r="G2430" s="514">
        <v>0</v>
      </c>
      <c r="H2430" s="514">
        <v>0</v>
      </c>
      <c r="I2430" s="514">
        <v>0</v>
      </c>
      <c r="J2430" s="514">
        <v>0</v>
      </c>
      <c r="K2430" s="514">
        <v>0</v>
      </c>
      <c r="L2430" s="514">
        <v>0</v>
      </c>
      <c r="M2430" s="514">
        <v>0</v>
      </c>
      <c r="N2430" s="514">
        <v>0</v>
      </c>
      <c r="O2430" s="499"/>
      <c r="P2430" s="499"/>
      <c r="Q2430" s="499"/>
    </row>
    <row r="2431" spans="1:17" ht="14.4" x14ac:dyDescent="0.3">
      <c r="A2431" s="502" t="s">
        <v>3900</v>
      </c>
      <c r="B2431" s="503" t="s">
        <v>3901</v>
      </c>
      <c r="C2431" s="514">
        <v>0</v>
      </c>
      <c r="D2431" s="514">
        <v>0</v>
      </c>
      <c r="E2431" s="514">
        <v>0</v>
      </c>
      <c r="F2431" s="514">
        <v>0</v>
      </c>
      <c r="G2431" s="514">
        <v>0</v>
      </c>
      <c r="H2431" s="514">
        <v>0</v>
      </c>
      <c r="I2431" s="514">
        <v>0</v>
      </c>
      <c r="J2431" s="514">
        <v>0</v>
      </c>
      <c r="K2431" s="514">
        <v>0</v>
      </c>
      <c r="L2431" s="514">
        <v>0</v>
      </c>
      <c r="M2431" s="514">
        <v>0</v>
      </c>
      <c r="N2431" s="514">
        <v>0</v>
      </c>
      <c r="O2431" s="499"/>
      <c r="P2431" s="499"/>
      <c r="Q2431" s="499"/>
    </row>
    <row r="2432" spans="1:17" ht="14.4" x14ac:dyDescent="0.3">
      <c r="A2432" s="502" t="s">
        <v>3902</v>
      </c>
      <c r="B2432" s="503" t="s">
        <v>3903</v>
      </c>
      <c r="C2432" s="514">
        <v>0</v>
      </c>
      <c r="D2432" s="514">
        <v>0</v>
      </c>
      <c r="E2432" s="514">
        <v>0</v>
      </c>
      <c r="F2432" s="514">
        <v>0</v>
      </c>
      <c r="G2432" s="514">
        <v>0</v>
      </c>
      <c r="H2432" s="514">
        <v>0</v>
      </c>
      <c r="I2432" s="514">
        <v>0</v>
      </c>
      <c r="J2432" s="514">
        <v>0</v>
      </c>
      <c r="K2432" s="514">
        <v>0</v>
      </c>
      <c r="L2432" s="514">
        <v>0</v>
      </c>
      <c r="M2432" s="514">
        <v>0</v>
      </c>
      <c r="N2432" s="514">
        <v>0</v>
      </c>
      <c r="O2432" s="499"/>
      <c r="P2432" s="499"/>
      <c r="Q2432" s="499"/>
    </row>
    <row r="2433" spans="1:17" ht="14.4" x14ac:dyDescent="0.3">
      <c r="A2433" s="502" t="s">
        <v>3904</v>
      </c>
      <c r="B2433" s="503" t="s">
        <v>3905</v>
      </c>
      <c r="C2433" s="514">
        <v>0</v>
      </c>
      <c r="D2433" s="514">
        <v>0</v>
      </c>
      <c r="E2433" s="514">
        <v>0</v>
      </c>
      <c r="F2433" s="514">
        <v>0</v>
      </c>
      <c r="G2433" s="514">
        <v>0</v>
      </c>
      <c r="H2433" s="514">
        <v>0</v>
      </c>
      <c r="I2433" s="514">
        <v>0</v>
      </c>
      <c r="J2433" s="514">
        <v>0</v>
      </c>
      <c r="K2433" s="514">
        <v>0</v>
      </c>
      <c r="L2433" s="514">
        <v>0</v>
      </c>
      <c r="M2433" s="514">
        <v>0</v>
      </c>
      <c r="N2433" s="514">
        <v>0</v>
      </c>
      <c r="O2433" s="499"/>
      <c r="P2433" s="499"/>
      <c r="Q2433" s="499"/>
    </row>
    <row r="2434" spans="1:17" ht="14.4" x14ac:dyDescent="0.3">
      <c r="A2434" s="502" t="s">
        <v>3906</v>
      </c>
      <c r="B2434" s="503" t="s">
        <v>3907</v>
      </c>
      <c r="C2434" s="514">
        <v>9856.25</v>
      </c>
      <c r="D2434" s="514">
        <v>9856.25</v>
      </c>
      <c r="E2434" s="514">
        <v>9856.25</v>
      </c>
      <c r="F2434" s="514">
        <v>9856.25</v>
      </c>
      <c r="G2434" s="514">
        <v>9856.25</v>
      </c>
      <c r="H2434" s="514">
        <v>9856.25</v>
      </c>
      <c r="I2434" s="514">
        <v>9856.25</v>
      </c>
      <c r="J2434" s="514">
        <v>9856.25</v>
      </c>
      <c r="K2434" s="514">
        <v>9856.25</v>
      </c>
      <c r="L2434" s="514">
        <v>9856.25</v>
      </c>
      <c r="M2434" s="514">
        <v>9856.25</v>
      </c>
      <c r="N2434" s="514">
        <v>9856.25</v>
      </c>
      <c r="O2434" s="499"/>
      <c r="P2434" s="499"/>
      <c r="Q2434" s="499"/>
    </row>
    <row r="2435" spans="1:17" ht="14.4" x14ac:dyDescent="0.3">
      <c r="A2435" s="502" t="s">
        <v>3908</v>
      </c>
      <c r="B2435" s="503" t="s">
        <v>776</v>
      </c>
      <c r="C2435" s="514">
        <v>133206.95000000001</v>
      </c>
      <c r="D2435" s="514">
        <v>170731.89</v>
      </c>
      <c r="E2435" s="514">
        <v>133206.95000000001</v>
      </c>
      <c r="F2435" s="514">
        <v>133206.95000000001</v>
      </c>
      <c r="G2435" s="514">
        <v>142285.07</v>
      </c>
      <c r="H2435" s="514">
        <v>133206.95000000001</v>
      </c>
      <c r="I2435" s="514">
        <v>133206.95000000001</v>
      </c>
      <c r="J2435" s="514">
        <v>170731.89</v>
      </c>
      <c r="K2435" s="514">
        <v>142285.07</v>
      </c>
      <c r="L2435" s="514">
        <v>133206.95000000001</v>
      </c>
      <c r="M2435" s="514">
        <v>133206.95000000001</v>
      </c>
      <c r="N2435" s="514">
        <v>133206.95000000001</v>
      </c>
      <c r="O2435" s="499"/>
      <c r="P2435" s="499"/>
      <c r="Q2435" s="499"/>
    </row>
    <row r="2436" spans="1:17" ht="14.4" x14ac:dyDescent="0.3">
      <c r="A2436" s="502" t="s">
        <v>3909</v>
      </c>
      <c r="B2436" s="503" t="s">
        <v>778</v>
      </c>
      <c r="C2436" s="514">
        <v>587716.26</v>
      </c>
      <c r="D2436" s="514">
        <v>584615.73</v>
      </c>
      <c r="E2436" s="514">
        <v>601185.5</v>
      </c>
      <c r="F2436" s="514">
        <v>611020.26</v>
      </c>
      <c r="G2436" s="514">
        <v>596001.53</v>
      </c>
      <c r="H2436" s="514">
        <v>587208.1</v>
      </c>
      <c r="I2436" s="514">
        <v>591858.9</v>
      </c>
      <c r="J2436" s="514">
        <v>590308.63</v>
      </c>
      <c r="K2436" s="514">
        <v>588757.37</v>
      </c>
      <c r="L2436" s="514">
        <v>604285.03</v>
      </c>
      <c r="M2436" s="514">
        <v>609469</v>
      </c>
      <c r="N2436" s="514">
        <v>607918.48</v>
      </c>
      <c r="O2436" s="499"/>
      <c r="P2436" s="499"/>
      <c r="Q2436" s="499"/>
    </row>
    <row r="2437" spans="1:17" ht="14.4" x14ac:dyDescent="0.3">
      <c r="A2437" s="502" t="s">
        <v>3910</v>
      </c>
      <c r="B2437" s="503" t="s">
        <v>3911</v>
      </c>
      <c r="C2437" s="514">
        <v>0</v>
      </c>
      <c r="D2437" s="514">
        <v>0</v>
      </c>
      <c r="E2437" s="514">
        <v>0</v>
      </c>
      <c r="F2437" s="514">
        <v>0</v>
      </c>
      <c r="G2437" s="514">
        <v>0</v>
      </c>
      <c r="H2437" s="514">
        <v>0</v>
      </c>
      <c r="I2437" s="514">
        <v>0</v>
      </c>
      <c r="J2437" s="514">
        <v>0</v>
      </c>
      <c r="K2437" s="514">
        <v>0</v>
      </c>
      <c r="L2437" s="514">
        <v>0</v>
      </c>
      <c r="M2437" s="514">
        <v>0</v>
      </c>
      <c r="N2437" s="514">
        <v>0</v>
      </c>
      <c r="O2437" s="499"/>
      <c r="P2437" s="499"/>
      <c r="Q2437" s="499"/>
    </row>
    <row r="2438" spans="1:17" ht="14.4" x14ac:dyDescent="0.3">
      <c r="A2438" s="502" t="s">
        <v>3912</v>
      </c>
      <c r="B2438" s="503" t="s">
        <v>772</v>
      </c>
      <c r="C2438" s="514">
        <v>0</v>
      </c>
      <c r="D2438" s="514">
        <v>0</v>
      </c>
      <c r="E2438" s="514">
        <v>0</v>
      </c>
      <c r="F2438" s="514">
        <v>0</v>
      </c>
      <c r="G2438" s="514">
        <v>0</v>
      </c>
      <c r="H2438" s="514">
        <v>0</v>
      </c>
      <c r="I2438" s="514">
        <v>0</v>
      </c>
      <c r="J2438" s="514">
        <v>0</v>
      </c>
      <c r="K2438" s="514">
        <v>0</v>
      </c>
      <c r="L2438" s="514">
        <v>0</v>
      </c>
      <c r="M2438" s="514">
        <v>0</v>
      </c>
      <c r="N2438" s="514">
        <v>0</v>
      </c>
      <c r="O2438" s="499"/>
      <c r="P2438" s="499"/>
      <c r="Q2438" s="499"/>
    </row>
    <row r="2439" spans="1:17" ht="14.4" x14ac:dyDescent="0.3">
      <c r="A2439" s="502" t="s">
        <v>3913</v>
      </c>
      <c r="B2439" s="503" t="s">
        <v>774</v>
      </c>
      <c r="C2439" s="514">
        <v>0</v>
      </c>
      <c r="D2439" s="514">
        <v>0</v>
      </c>
      <c r="E2439" s="514">
        <v>0</v>
      </c>
      <c r="F2439" s="514">
        <v>0</v>
      </c>
      <c r="G2439" s="514">
        <v>0</v>
      </c>
      <c r="H2439" s="514">
        <v>0</v>
      </c>
      <c r="I2439" s="514">
        <v>0</v>
      </c>
      <c r="J2439" s="514">
        <v>0</v>
      </c>
      <c r="K2439" s="514">
        <v>0</v>
      </c>
      <c r="L2439" s="514">
        <v>0</v>
      </c>
      <c r="M2439" s="514">
        <v>0</v>
      </c>
      <c r="N2439" s="514">
        <v>0</v>
      </c>
      <c r="O2439" s="499"/>
      <c r="P2439" s="499"/>
      <c r="Q2439" s="499"/>
    </row>
    <row r="2440" spans="1:17" ht="14.4" x14ac:dyDescent="0.3">
      <c r="A2440" s="502" t="s">
        <v>3914</v>
      </c>
      <c r="B2440" s="503" t="s">
        <v>832</v>
      </c>
      <c r="C2440" s="514">
        <v>4793119.26</v>
      </c>
      <c r="D2440" s="514">
        <v>4380523.87</v>
      </c>
      <c r="E2440" s="514">
        <v>4411927.63</v>
      </c>
      <c r="F2440" s="514">
        <v>4685196.58</v>
      </c>
      <c r="G2440" s="514">
        <v>4875267.5199999996</v>
      </c>
      <c r="H2440" s="514">
        <v>4249115.55</v>
      </c>
      <c r="I2440" s="514">
        <v>4918487.67</v>
      </c>
      <c r="J2440" s="514">
        <v>4699746.88</v>
      </c>
      <c r="K2440" s="514">
        <v>4478300.5599999996</v>
      </c>
      <c r="L2440" s="514">
        <v>4955381.05</v>
      </c>
      <c r="M2440" s="514">
        <v>4510879.9400000004</v>
      </c>
      <c r="N2440" s="514">
        <v>4724490.45</v>
      </c>
      <c r="O2440" s="499"/>
      <c r="P2440" s="499"/>
      <c r="Q2440" s="499"/>
    </row>
    <row r="2441" spans="1:17" ht="14.4" x14ac:dyDescent="0.3">
      <c r="A2441" s="502" t="s">
        <v>3915</v>
      </c>
      <c r="B2441" s="503" t="s">
        <v>838</v>
      </c>
      <c r="C2441" s="514">
        <v>26456</v>
      </c>
      <c r="D2441" s="514">
        <v>26456</v>
      </c>
      <c r="E2441" s="514">
        <v>26456</v>
      </c>
      <c r="F2441" s="514">
        <v>26456</v>
      </c>
      <c r="G2441" s="514">
        <v>26456</v>
      </c>
      <c r="H2441" s="514">
        <v>26456</v>
      </c>
      <c r="I2441" s="514">
        <v>26456</v>
      </c>
      <c r="J2441" s="514">
        <v>26456</v>
      </c>
      <c r="K2441" s="514">
        <v>26456</v>
      </c>
      <c r="L2441" s="514">
        <v>26456</v>
      </c>
      <c r="M2441" s="514">
        <v>26456</v>
      </c>
      <c r="N2441" s="514">
        <v>26456</v>
      </c>
      <c r="O2441" s="499"/>
      <c r="P2441" s="499"/>
      <c r="Q2441" s="499"/>
    </row>
    <row r="2442" spans="1:17" ht="14.4" x14ac:dyDescent="0.3">
      <c r="A2442" s="502" t="s">
        <v>3916</v>
      </c>
      <c r="B2442" s="503" t="s">
        <v>840</v>
      </c>
      <c r="C2442" s="514">
        <v>18589</v>
      </c>
      <c r="D2442" s="514">
        <v>18589</v>
      </c>
      <c r="E2442" s="514">
        <v>18589</v>
      </c>
      <c r="F2442" s="514">
        <v>18589</v>
      </c>
      <c r="G2442" s="514">
        <v>18589</v>
      </c>
      <c r="H2442" s="514">
        <v>18589</v>
      </c>
      <c r="I2442" s="514">
        <v>18589</v>
      </c>
      <c r="J2442" s="514">
        <v>18589</v>
      </c>
      <c r="K2442" s="514">
        <v>18589</v>
      </c>
      <c r="L2442" s="514">
        <v>18589</v>
      </c>
      <c r="M2442" s="514">
        <v>18589</v>
      </c>
      <c r="N2442" s="514">
        <v>18589</v>
      </c>
      <c r="O2442" s="499"/>
      <c r="P2442" s="499"/>
      <c r="Q2442" s="499"/>
    </row>
    <row r="2443" spans="1:17" ht="14.4" x14ac:dyDescent="0.3">
      <c r="A2443" s="502" t="s">
        <v>3917</v>
      </c>
      <c r="B2443" s="503" t="s">
        <v>842</v>
      </c>
      <c r="C2443" s="514">
        <v>30779</v>
      </c>
      <c r="D2443" s="514">
        <v>30779</v>
      </c>
      <c r="E2443" s="514">
        <v>30779</v>
      </c>
      <c r="F2443" s="514">
        <v>30779</v>
      </c>
      <c r="G2443" s="514">
        <v>30779</v>
      </c>
      <c r="H2443" s="514">
        <v>30779</v>
      </c>
      <c r="I2443" s="514">
        <v>30779</v>
      </c>
      <c r="J2443" s="514">
        <v>30779</v>
      </c>
      <c r="K2443" s="514">
        <v>30779</v>
      </c>
      <c r="L2443" s="514">
        <v>30779</v>
      </c>
      <c r="M2443" s="514">
        <v>30779</v>
      </c>
      <c r="N2443" s="514">
        <v>30779</v>
      </c>
      <c r="O2443" s="499"/>
      <c r="P2443" s="499"/>
      <c r="Q2443" s="499"/>
    </row>
    <row r="2444" spans="1:17" ht="14.4" x14ac:dyDescent="0.3">
      <c r="A2444" s="502" t="s">
        <v>3918</v>
      </c>
      <c r="B2444" s="503" t="s">
        <v>844</v>
      </c>
      <c r="C2444" s="514">
        <v>12450</v>
      </c>
      <c r="D2444" s="514">
        <v>12450</v>
      </c>
      <c r="E2444" s="514">
        <v>12450</v>
      </c>
      <c r="F2444" s="514">
        <v>12450</v>
      </c>
      <c r="G2444" s="514">
        <v>12450</v>
      </c>
      <c r="H2444" s="514">
        <v>12450</v>
      </c>
      <c r="I2444" s="514">
        <v>12450</v>
      </c>
      <c r="J2444" s="514">
        <v>12450</v>
      </c>
      <c r="K2444" s="514">
        <v>12450</v>
      </c>
      <c r="L2444" s="514">
        <v>12450</v>
      </c>
      <c r="M2444" s="514">
        <v>12450</v>
      </c>
      <c r="N2444" s="514">
        <v>12450</v>
      </c>
      <c r="O2444" s="499"/>
      <c r="P2444" s="499"/>
      <c r="Q2444" s="499"/>
    </row>
    <row r="2445" spans="1:17" ht="14.4" x14ac:dyDescent="0.3">
      <c r="A2445" s="502" t="s">
        <v>3919</v>
      </c>
      <c r="B2445" s="503" t="s">
        <v>846</v>
      </c>
      <c r="C2445" s="514">
        <v>2809896</v>
      </c>
      <c r="D2445" s="514">
        <v>2809896</v>
      </c>
      <c r="E2445" s="514">
        <v>2809896</v>
      </c>
      <c r="F2445" s="514">
        <v>2809896</v>
      </c>
      <c r="G2445" s="514">
        <v>2809896</v>
      </c>
      <c r="H2445" s="514">
        <v>2809896</v>
      </c>
      <c r="I2445" s="514">
        <v>2809896</v>
      </c>
      <c r="J2445" s="514">
        <v>2809896</v>
      </c>
      <c r="K2445" s="514">
        <v>2809896</v>
      </c>
      <c r="L2445" s="514">
        <v>2809896</v>
      </c>
      <c r="M2445" s="514">
        <v>2809896</v>
      </c>
      <c r="N2445" s="514">
        <v>2809896</v>
      </c>
      <c r="O2445" s="499"/>
      <c r="P2445" s="499"/>
      <c r="Q2445" s="499"/>
    </row>
    <row r="2446" spans="1:17" ht="14.4" x14ac:dyDescent="0.3">
      <c r="A2446" s="502" t="s">
        <v>3920</v>
      </c>
      <c r="B2446" s="503" t="s">
        <v>848</v>
      </c>
      <c r="C2446" s="514">
        <v>0</v>
      </c>
      <c r="D2446" s="514">
        <v>0</v>
      </c>
      <c r="E2446" s="514">
        <v>304347</v>
      </c>
      <c r="F2446" s="514">
        <v>0</v>
      </c>
      <c r="G2446" s="514">
        <v>0</v>
      </c>
      <c r="H2446" s="514">
        <v>304347</v>
      </c>
      <c r="I2446" s="514">
        <v>0</v>
      </c>
      <c r="J2446" s="514">
        <v>0</v>
      </c>
      <c r="K2446" s="514">
        <v>304347</v>
      </c>
      <c r="L2446" s="514">
        <v>0</v>
      </c>
      <c r="M2446" s="514">
        <v>0</v>
      </c>
      <c r="N2446" s="514">
        <v>304347</v>
      </c>
      <c r="O2446" s="499"/>
      <c r="P2446" s="499"/>
      <c r="Q2446" s="499"/>
    </row>
    <row r="2447" spans="1:17" ht="14.4" x14ac:dyDescent="0.3">
      <c r="A2447" s="502" t="s">
        <v>3921</v>
      </c>
      <c r="B2447" s="503" t="s">
        <v>3922</v>
      </c>
      <c r="C2447" s="514">
        <v>0</v>
      </c>
      <c r="D2447" s="514">
        <v>0</v>
      </c>
      <c r="E2447" s="514">
        <v>0</v>
      </c>
      <c r="F2447" s="514">
        <v>0</v>
      </c>
      <c r="G2447" s="514">
        <v>0</v>
      </c>
      <c r="H2447" s="514">
        <v>0</v>
      </c>
      <c r="I2447" s="514">
        <v>0</v>
      </c>
      <c r="J2447" s="514">
        <v>0</v>
      </c>
      <c r="K2447" s="514">
        <v>0</v>
      </c>
      <c r="L2447" s="514">
        <v>0</v>
      </c>
      <c r="M2447" s="514">
        <v>0</v>
      </c>
      <c r="N2447" s="514">
        <v>0</v>
      </c>
      <c r="O2447" s="499"/>
      <c r="P2447" s="499"/>
      <c r="Q2447" s="499"/>
    </row>
    <row r="2448" spans="1:17" ht="14.4" x14ac:dyDescent="0.3">
      <c r="A2448" s="502" t="s">
        <v>3923</v>
      </c>
      <c r="B2448" s="503" t="s">
        <v>850</v>
      </c>
      <c r="C2448" s="514">
        <v>0</v>
      </c>
      <c r="D2448" s="514">
        <v>0</v>
      </c>
      <c r="E2448" s="514">
        <v>500975</v>
      </c>
      <c r="F2448" s="514">
        <v>0</v>
      </c>
      <c r="G2448" s="514">
        <v>0</v>
      </c>
      <c r="H2448" s="514">
        <v>500975</v>
      </c>
      <c r="I2448" s="514">
        <v>0</v>
      </c>
      <c r="J2448" s="514">
        <v>0</v>
      </c>
      <c r="K2448" s="514">
        <v>500975</v>
      </c>
      <c r="L2448" s="514">
        <v>0</v>
      </c>
      <c r="M2448" s="514">
        <v>0</v>
      </c>
      <c r="N2448" s="514">
        <v>500975</v>
      </c>
      <c r="O2448" s="499"/>
      <c r="P2448" s="499"/>
      <c r="Q2448" s="499"/>
    </row>
    <row r="2449" spans="1:17" ht="14.4" x14ac:dyDescent="0.3">
      <c r="A2449" s="502" t="s">
        <v>3924</v>
      </c>
      <c r="B2449" s="503" t="s">
        <v>852</v>
      </c>
      <c r="C2449" s="514">
        <v>0</v>
      </c>
      <c r="D2449" s="514">
        <v>0</v>
      </c>
      <c r="E2449" s="514">
        <v>847123</v>
      </c>
      <c r="F2449" s="514">
        <v>0</v>
      </c>
      <c r="G2449" s="514">
        <v>0</v>
      </c>
      <c r="H2449" s="514">
        <v>847123</v>
      </c>
      <c r="I2449" s="514">
        <v>0</v>
      </c>
      <c r="J2449" s="514">
        <v>0</v>
      </c>
      <c r="K2449" s="514">
        <v>847123</v>
      </c>
      <c r="L2449" s="514">
        <v>0</v>
      </c>
      <c r="M2449" s="514">
        <v>0</v>
      </c>
      <c r="N2449" s="514">
        <v>847123</v>
      </c>
      <c r="O2449" s="499"/>
      <c r="P2449" s="499"/>
      <c r="Q2449" s="499"/>
    </row>
    <row r="2450" spans="1:17" ht="14.4" x14ac:dyDescent="0.3">
      <c r="A2450" s="502" t="s">
        <v>3925</v>
      </c>
      <c r="B2450" s="503" t="s">
        <v>854</v>
      </c>
      <c r="C2450" s="514">
        <v>0</v>
      </c>
      <c r="D2450" s="514">
        <v>0</v>
      </c>
      <c r="E2450" s="514">
        <v>1706346</v>
      </c>
      <c r="F2450" s="514">
        <v>0</v>
      </c>
      <c r="G2450" s="514">
        <v>0</v>
      </c>
      <c r="H2450" s="514">
        <v>1706346</v>
      </c>
      <c r="I2450" s="514">
        <v>0</v>
      </c>
      <c r="J2450" s="514">
        <v>0</v>
      </c>
      <c r="K2450" s="514">
        <v>1706346</v>
      </c>
      <c r="L2450" s="514">
        <v>0</v>
      </c>
      <c r="M2450" s="514">
        <v>0</v>
      </c>
      <c r="N2450" s="514">
        <v>1706346</v>
      </c>
      <c r="O2450" s="499"/>
      <c r="P2450" s="499"/>
      <c r="Q2450" s="499"/>
    </row>
    <row r="2451" spans="1:17" ht="14.4" x14ac:dyDescent="0.3">
      <c r="A2451" s="502" t="s">
        <v>3926</v>
      </c>
      <c r="B2451" s="503" t="s">
        <v>3927</v>
      </c>
      <c r="C2451" s="514">
        <v>0</v>
      </c>
      <c r="D2451" s="514">
        <v>0</v>
      </c>
      <c r="E2451" s="514">
        <v>0</v>
      </c>
      <c r="F2451" s="514">
        <v>0</v>
      </c>
      <c r="G2451" s="514">
        <v>0</v>
      </c>
      <c r="H2451" s="514">
        <v>0</v>
      </c>
      <c r="I2451" s="514">
        <v>0</v>
      </c>
      <c r="J2451" s="514">
        <v>0</v>
      </c>
      <c r="K2451" s="514">
        <v>0</v>
      </c>
      <c r="L2451" s="514">
        <v>0</v>
      </c>
      <c r="M2451" s="514">
        <v>0</v>
      </c>
      <c r="N2451" s="514">
        <v>0</v>
      </c>
      <c r="O2451" s="499"/>
      <c r="P2451" s="499"/>
      <c r="Q2451" s="499"/>
    </row>
    <row r="2452" spans="1:17" ht="14.4" x14ac:dyDescent="0.3">
      <c r="A2452" s="502" t="s">
        <v>3928</v>
      </c>
      <c r="B2452" s="503" t="s">
        <v>856</v>
      </c>
      <c r="C2452" s="514">
        <v>12969</v>
      </c>
      <c r="D2452" s="514">
        <v>12969</v>
      </c>
      <c r="E2452" s="514">
        <v>12969</v>
      </c>
      <c r="F2452" s="514">
        <v>12969</v>
      </c>
      <c r="G2452" s="514">
        <v>12969</v>
      </c>
      <c r="H2452" s="514">
        <v>12969</v>
      </c>
      <c r="I2452" s="514">
        <v>12969</v>
      </c>
      <c r="J2452" s="514">
        <v>12969</v>
      </c>
      <c r="K2452" s="514">
        <v>12969</v>
      </c>
      <c r="L2452" s="514">
        <v>12969</v>
      </c>
      <c r="M2452" s="514">
        <v>12969</v>
      </c>
      <c r="N2452" s="514">
        <v>12969</v>
      </c>
      <c r="O2452" s="499"/>
      <c r="P2452" s="499"/>
      <c r="Q2452" s="499"/>
    </row>
    <row r="2453" spans="1:17" ht="14.4" x14ac:dyDescent="0.3">
      <c r="A2453" s="502" t="s">
        <v>3929</v>
      </c>
      <c r="B2453" s="503" t="s">
        <v>858</v>
      </c>
      <c r="C2453" s="514">
        <v>711157</v>
      </c>
      <c r="D2453" s="514">
        <v>711157</v>
      </c>
      <c r="E2453" s="514">
        <v>711157</v>
      </c>
      <c r="F2453" s="514">
        <v>711157</v>
      </c>
      <c r="G2453" s="514">
        <v>711157</v>
      </c>
      <c r="H2453" s="514">
        <v>711157</v>
      </c>
      <c r="I2453" s="514">
        <v>711157</v>
      </c>
      <c r="J2453" s="514">
        <v>711157</v>
      </c>
      <c r="K2453" s="514">
        <v>711157</v>
      </c>
      <c r="L2453" s="514">
        <v>711157</v>
      </c>
      <c r="M2453" s="514">
        <v>711157</v>
      </c>
      <c r="N2453" s="514">
        <v>711157</v>
      </c>
      <c r="O2453" s="499"/>
      <c r="P2453" s="499"/>
      <c r="Q2453" s="499"/>
    </row>
    <row r="2454" spans="1:17" ht="14.4" x14ac:dyDescent="0.3">
      <c r="A2454" s="502" t="s">
        <v>3930</v>
      </c>
      <c r="B2454" s="503" t="s">
        <v>860</v>
      </c>
      <c r="C2454" s="514">
        <v>854545</v>
      </c>
      <c r="D2454" s="514">
        <v>854545</v>
      </c>
      <c r="E2454" s="514">
        <v>854545</v>
      </c>
      <c r="F2454" s="514">
        <v>854545</v>
      </c>
      <c r="G2454" s="514">
        <v>854545</v>
      </c>
      <c r="H2454" s="514">
        <v>854545</v>
      </c>
      <c r="I2454" s="514">
        <v>854545</v>
      </c>
      <c r="J2454" s="514">
        <v>854545</v>
      </c>
      <c r="K2454" s="514">
        <v>854545</v>
      </c>
      <c r="L2454" s="514">
        <v>854545</v>
      </c>
      <c r="M2454" s="514">
        <v>854545</v>
      </c>
      <c r="N2454" s="514">
        <v>854545</v>
      </c>
      <c r="O2454" s="499"/>
      <c r="P2454" s="499"/>
      <c r="Q2454" s="499"/>
    </row>
    <row r="2455" spans="1:17" ht="14.4" x14ac:dyDescent="0.3">
      <c r="A2455" s="502" t="s">
        <v>3931</v>
      </c>
      <c r="B2455" s="503" t="s">
        <v>3932</v>
      </c>
      <c r="C2455" s="514">
        <v>0</v>
      </c>
      <c r="D2455" s="514">
        <v>0</v>
      </c>
      <c r="E2455" s="514">
        <v>0</v>
      </c>
      <c r="F2455" s="514">
        <v>0</v>
      </c>
      <c r="G2455" s="514">
        <v>0</v>
      </c>
      <c r="H2455" s="514">
        <v>0</v>
      </c>
      <c r="I2455" s="514">
        <v>0</v>
      </c>
      <c r="J2455" s="514">
        <v>0</v>
      </c>
      <c r="K2455" s="514">
        <v>0</v>
      </c>
      <c r="L2455" s="514">
        <v>0</v>
      </c>
      <c r="M2455" s="514">
        <v>0</v>
      </c>
      <c r="N2455" s="514">
        <v>0</v>
      </c>
      <c r="O2455" s="499"/>
      <c r="P2455" s="499"/>
      <c r="Q2455" s="499"/>
    </row>
    <row r="2456" spans="1:17" ht="14.4" x14ac:dyDescent="0.3">
      <c r="A2456" s="502" t="s">
        <v>3933</v>
      </c>
      <c r="B2456" s="503" t="s">
        <v>862</v>
      </c>
      <c r="C2456" s="514">
        <v>0</v>
      </c>
      <c r="D2456" s="514">
        <v>0</v>
      </c>
      <c r="E2456" s="514">
        <v>26704</v>
      </c>
      <c r="F2456" s="514">
        <v>0</v>
      </c>
      <c r="G2456" s="514">
        <v>0</v>
      </c>
      <c r="H2456" s="514">
        <v>26704</v>
      </c>
      <c r="I2456" s="514">
        <v>0</v>
      </c>
      <c r="J2456" s="514">
        <v>0</v>
      </c>
      <c r="K2456" s="514">
        <v>26704</v>
      </c>
      <c r="L2456" s="514">
        <v>0</v>
      </c>
      <c r="M2456" s="514">
        <v>0</v>
      </c>
      <c r="N2456" s="514">
        <v>26704</v>
      </c>
      <c r="O2456" s="499"/>
      <c r="P2456" s="499"/>
      <c r="Q2456" s="499"/>
    </row>
    <row r="2457" spans="1:17" ht="14.4" x14ac:dyDescent="0.3">
      <c r="A2457" s="502" t="s">
        <v>3934</v>
      </c>
      <c r="B2457" s="503" t="s">
        <v>3935</v>
      </c>
      <c r="C2457" s="514">
        <v>0</v>
      </c>
      <c r="D2457" s="514">
        <v>0</v>
      </c>
      <c r="E2457" s="514">
        <v>0</v>
      </c>
      <c r="F2457" s="514">
        <v>0</v>
      </c>
      <c r="G2457" s="514">
        <v>0</v>
      </c>
      <c r="H2457" s="514">
        <v>0</v>
      </c>
      <c r="I2457" s="514">
        <v>0</v>
      </c>
      <c r="J2457" s="514">
        <v>0</v>
      </c>
      <c r="K2457" s="514">
        <v>0</v>
      </c>
      <c r="L2457" s="514">
        <v>0</v>
      </c>
      <c r="M2457" s="514">
        <v>0</v>
      </c>
      <c r="N2457" s="514">
        <v>0</v>
      </c>
      <c r="O2457" s="499"/>
      <c r="P2457" s="499"/>
      <c r="Q2457" s="499"/>
    </row>
    <row r="2458" spans="1:17" ht="14.4" x14ac:dyDescent="0.3">
      <c r="A2458" s="502" t="s">
        <v>3936</v>
      </c>
      <c r="B2458" s="503" t="s">
        <v>864</v>
      </c>
      <c r="C2458" s="514">
        <v>155625</v>
      </c>
      <c r="D2458" s="514">
        <v>155625</v>
      </c>
      <c r="E2458" s="514">
        <v>155625</v>
      </c>
      <c r="F2458" s="514">
        <v>155625</v>
      </c>
      <c r="G2458" s="514">
        <v>155625</v>
      </c>
      <c r="H2458" s="514">
        <v>155625</v>
      </c>
      <c r="I2458" s="514">
        <v>155625</v>
      </c>
      <c r="J2458" s="514">
        <v>155625</v>
      </c>
      <c r="K2458" s="514">
        <v>155625</v>
      </c>
      <c r="L2458" s="514">
        <v>155625</v>
      </c>
      <c r="M2458" s="514">
        <v>155625</v>
      </c>
      <c r="N2458" s="514">
        <v>155625</v>
      </c>
      <c r="O2458" s="499"/>
      <c r="P2458" s="499"/>
      <c r="Q2458" s="499"/>
    </row>
    <row r="2459" spans="1:17" ht="14.4" x14ac:dyDescent="0.3">
      <c r="A2459" s="502" t="s">
        <v>3937</v>
      </c>
      <c r="B2459" s="503" t="s">
        <v>866</v>
      </c>
      <c r="C2459" s="514">
        <v>103750</v>
      </c>
      <c r="D2459" s="514">
        <v>103750</v>
      </c>
      <c r="E2459" s="514">
        <v>103750</v>
      </c>
      <c r="F2459" s="514">
        <v>103750</v>
      </c>
      <c r="G2459" s="514">
        <v>103750</v>
      </c>
      <c r="H2459" s="514">
        <v>103750</v>
      </c>
      <c r="I2459" s="514">
        <v>103750</v>
      </c>
      <c r="J2459" s="514">
        <v>103750</v>
      </c>
      <c r="K2459" s="514">
        <v>103750</v>
      </c>
      <c r="L2459" s="514">
        <v>103750</v>
      </c>
      <c r="M2459" s="514">
        <v>103750</v>
      </c>
      <c r="N2459" s="514">
        <v>103750</v>
      </c>
      <c r="O2459" s="499"/>
      <c r="P2459" s="499"/>
      <c r="Q2459" s="499"/>
    </row>
    <row r="2460" spans="1:17" ht="14.4" x14ac:dyDescent="0.3">
      <c r="A2460" s="502" t="s">
        <v>3938</v>
      </c>
      <c r="B2460" s="503" t="s">
        <v>3939</v>
      </c>
      <c r="C2460" s="514">
        <v>0</v>
      </c>
      <c r="D2460" s="514">
        <v>0</v>
      </c>
      <c r="E2460" s="514">
        <v>0</v>
      </c>
      <c r="F2460" s="514">
        <v>0</v>
      </c>
      <c r="G2460" s="514">
        <v>0</v>
      </c>
      <c r="H2460" s="514">
        <v>0</v>
      </c>
      <c r="I2460" s="514">
        <v>0</v>
      </c>
      <c r="J2460" s="514">
        <v>0</v>
      </c>
      <c r="K2460" s="514">
        <v>0</v>
      </c>
      <c r="L2460" s="514">
        <v>0</v>
      </c>
      <c r="M2460" s="514">
        <v>0</v>
      </c>
      <c r="N2460" s="514">
        <v>0</v>
      </c>
      <c r="O2460" s="499"/>
      <c r="P2460" s="499"/>
      <c r="Q2460" s="499"/>
    </row>
    <row r="2461" spans="1:17" ht="14.4" x14ac:dyDescent="0.3">
      <c r="A2461" s="502" t="s">
        <v>3940</v>
      </c>
      <c r="B2461" s="503" t="s">
        <v>3941</v>
      </c>
      <c r="C2461" s="514">
        <v>0</v>
      </c>
      <c r="D2461" s="514">
        <v>0</v>
      </c>
      <c r="E2461" s="514">
        <v>0</v>
      </c>
      <c r="F2461" s="514">
        <v>0</v>
      </c>
      <c r="G2461" s="514">
        <v>0</v>
      </c>
      <c r="H2461" s="514">
        <v>0</v>
      </c>
      <c r="I2461" s="514">
        <v>0</v>
      </c>
      <c r="J2461" s="514">
        <v>0</v>
      </c>
      <c r="K2461" s="514">
        <v>0</v>
      </c>
      <c r="L2461" s="514">
        <v>0</v>
      </c>
      <c r="M2461" s="514">
        <v>0</v>
      </c>
      <c r="N2461" s="514">
        <v>0</v>
      </c>
      <c r="O2461" s="499"/>
      <c r="P2461" s="499"/>
      <c r="Q2461" s="499"/>
    </row>
    <row r="2462" spans="1:17" ht="14.4" x14ac:dyDescent="0.3">
      <c r="A2462" s="502" t="s">
        <v>3942</v>
      </c>
      <c r="B2462" s="503" t="s">
        <v>3943</v>
      </c>
      <c r="C2462" s="514">
        <v>0</v>
      </c>
      <c r="D2462" s="514">
        <v>0</v>
      </c>
      <c r="E2462" s="514">
        <v>0</v>
      </c>
      <c r="F2462" s="514">
        <v>0</v>
      </c>
      <c r="G2462" s="514">
        <v>0</v>
      </c>
      <c r="H2462" s="514">
        <v>0</v>
      </c>
      <c r="I2462" s="514">
        <v>0</v>
      </c>
      <c r="J2462" s="514">
        <v>0</v>
      </c>
      <c r="K2462" s="514">
        <v>0</v>
      </c>
      <c r="L2462" s="514">
        <v>0</v>
      </c>
      <c r="M2462" s="514">
        <v>0</v>
      </c>
      <c r="N2462" s="514">
        <v>0</v>
      </c>
      <c r="O2462" s="499"/>
      <c r="P2462" s="499"/>
      <c r="Q2462" s="499"/>
    </row>
    <row r="2463" spans="1:17" ht="14.4" x14ac:dyDescent="0.3">
      <c r="A2463" s="502" t="s">
        <v>3944</v>
      </c>
      <c r="B2463" s="503" t="s">
        <v>868</v>
      </c>
      <c r="C2463" s="514">
        <v>103750</v>
      </c>
      <c r="D2463" s="514">
        <v>103750</v>
      </c>
      <c r="E2463" s="514">
        <v>103750</v>
      </c>
      <c r="F2463" s="514">
        <v>103750</v>
      </c>
      <c r="G2463" s="514">
        <v>103750</v>
      </c>
      <c r="H2463" s="514">
        <v>103750</v>
      </c>
      <c r="I2463" s="514">
        <v>103750</v>
      </c>
      <c r="J2463" s="514">
        <v>103750</v>
      </c>
      <c r="K2463" s="514">
        <v>103750</v>
      </c>
      <c r="L2463" s="514">
        <v>103750</v>
      </c>
      <c r="M2463" s="514">
        <v>103750</v>
      </c>
      <c r="N2463" s="514">
        <v>103750</v>
      </c>
      <c r="O2463" s="499"/>
      <c r="P2463" s="499"/>
      <c r="Q2463" s="499"/>
    </row>
    <row r="2464" spans="1:17" ht="14.4" x14ac:dyDescent="0.3">
      <c r="A2464" s="502" t="s">
        <v>3945</v>
      </c>
      <c r="B2464" s="503" t="s">
        <v>870</v>
      </c>
      <c r="C2464" s="514">
        <v>0</v>
      </c>
      <c r="D2464" s="514">
        <v>0</v>
      </c>
      <c r="E2464" s="514">
        <v>32412</v>
      </c>
      <c r="F2464" s="514">
        <v>0</v>
      </c>
      <c r="G2464" s="514">
        <v>0</v>
      </c>
      <c r="H2464" s="514">
        <v>32412</v>
      </c>
      <c r="I2464" s="514">
        <v>0</v>
      </c>
      <c r="J2464" s="514">
        <v>0</v>
      </c>
      <c r="K2464" s="514">
        <v>32412</v>
      </c>
      <c r="L2464" s="514">
        <v>0</v>
      </c>
      <c r="M2464" s="514">
        <v>0</v>
      </c>
      <c r="N2464" s="514">
        <v>32412</v>
      </c>
      <c r="O2464" s="499"/>
      <c r="P2464" s="499"/>
      <c r="Q2464" s="499"/>
    </row>
    <row r="2465" spans="1:17" ht="14.4" x14ac:dyDescent="0.3">
      <c r="A2465" s="502" t="s">
        <v>3946</v>
      </c>
      <c r="B2465" s="503" t="s">
        <v>3947</v>
      </c>
      <c r="C2465" s="514">
        <v>41849</v>
      </c>
      <c r="D2465" s="514">
        <v>41850</v>
      </c>
      <c r="E2465" s="514">
        <v>41851</v>
      </c>
      <c r="F2465" s="514">
        <v>41849</v>
      </c>
      <c r="G2465" s="514">
        <v>41850</v>
      </c>
      <c r="H2465" s="514">
        <v>41851</v>
      </c>
      <c r="I2465" s="514">
        <v>41849</v>
      </c>
      <c r="J2465" s="514">
        <v>41850</v>
      </c>
      <c r="K2465" s="514">
        <v>41851</v>
      </c>
      <c r="L2465" s="514">
        <v>41849</v>
      </c>
      <c r="M2465" s="514">
        <v>41850</v>
      </c>
      <c r="N2465" s="514">
        <v>41851</v>
      </c>
      <c r="O2465" s="499"/>
      <c r="P2465" s="499"/>
      <c r="Q2465" s="499"/>
    </row>
    <row r="2466" spans="1:17" ht="14.4" x14ac:dyDescent="0.3">
      <c r="A2466" s="502" t="s">
        <v>3948</v>
      </c>
      <c r="B2466" s="503" t="s">
        <v>872</v>
      </c>
      <c r="C2466" s="514">
        <v>670044.57999999996</v>
      </c>
      <c r="D2466" s="514">
        <v>611080.43000000005</v>
      </c>
      <c r="E2466" s="514">
        <v>602780.42000000004</v>
      </c>
      <c r="F2466" s="514">
        <v>654735.43000000005</v>
      </c>
      <c r="G2466" s="514">
        <v>684861.76</v>
      </c>
      <c r="H2466" s="514">
        <v>585898.39</v>
      </c>
      <c r="I2466" s="514">
        <v>684534.73</v>
      </c>
      <c r="J2466" s="514">
        <v>654422.63</v>
      </c>
      <c r="K2466" s="514">
        <v>616010.54</v>
      </c>
      <c r="L2466" s="514">
        <v>684534.73</v>
      </c>
      <c r="M2466" s="514">
        <v>624310.54</v>
      </c>
      <c r="N2466" s="514">
        <v>648654.76</v>
      </c>
      <c r="O2466" s="499"/>
      <c r="P2466" s="499"/>
      <c r="Q2466" s="499"/>
    </row>
    <row r="2467" spans="1:17" ht="14.4" x14ac:dyDescent="0.3">
      <c r="A2467" s="502" t="s">
        <v>3949</v>
      </c>
      <c r="B2467" s="503" t="s">
        <v>874</v>
      </c>
      <c r="C2467" s="514">
        <v>2350530</v>
      </c>
      <c r="D2467" s="514">
        <v>2350530</v>
      </c>
      <c r="E2467" s="514">
        <v>2350530</v>
      </c>
      <c r="F2467" s="514">
        <v>2350530</v>
      </c>
      <c r="G2467" s="514">
        <v>2350530</v>
      </c>
      <c r="H2467" s="514">
        <v>2350530</v>
      </c>
      <c r="I2467" s="514">
        <v>2350530</v>
      </c>
      <c r="J2467" s="514">
        <v>2350530</v>
      </c>
      <c r="K2467" s="514">
        <v>2350530</v>
      </c>
      <c r="L2467" s="514">
        <v>2350530</v>
      </c>
      <c r="M2467" s="514">
        <v>2350530</v>
      </c>
      <c r="N2467" s="514">
        <v>2350530</v>
      </c>
      <c r="O2467" s="499"/>
      <c r="P2467" s="499"/>
      <c r="Q2467" s="499"/>
    </row>
    <row r="2468" spans="1:17" ht="14.4" x14ac:dyDescent="0.3">
      <c r="A2468" s="502" t="s">
        <v>3950</v>
      </c>
      <c r="B2468" s="503" t="s">
        <v>3951</v>
      </c>
      <c r="C2468" s="514">
        <v>0</v>
      </c>
      <c r="D2468" s="514">
        <v>0</v>
      </c>
      <c r="E2468" s="514">
        <v>0</v>
      </c>
      <c r="F2468" s="514">
        <v>0</v>
      </c>
      <c r="G2468" s="514">
        <v>0</v>
      </c>
      <c r="H2468" s="514">
        <v>0</v>
      </c>
      <c r="I2468" s="514">
        <v>0</v>
      </c>
      <c r="J2468" s="514">
        <v>0</v>
      </c>
      <c r="K2468" s="514">
        <v>0</v>
      </c>
      <c r="L2468" s="514">
        <v>0</v>
      </c>
      <c r="M2468" s="514">
        <v>0</v>
      </c>
      <c r="N2468" s="514">
        <v>0</v>
      </c>
      <c r="O2468" s="499"/>
      <c r="P2468" s="499"/>
      <c r="Q2468" s="499"/>
    </row>
    <row r="2469" spans="1:17" ht="14.4" x14ac:dyDescent="0.3">
      <c r="A2469" s="502" t="s">
        <v>3952</v>
      </c>
      <c r="B2469" s="503" t="s">
        <v>876</v>
      </c>
      <c r="C2469" s="514">
        <v>10375</v>
      </c>
      <c r="D2469" s="514">
        <v>10375</v>
      </c>
      <c r="E2469" s="514">
        <v>10375</v>
      </c>
      <c r="F2469" s="514">
        <v>10375</v>
      </c>
      <c r="G2469" s="514">
        <v>10375</v>
      </c>
      <c r="H2469" s="514">
        <v>10375</v>
      </c>
      <c r="I2469" s="514">
        <v>10375</v>
      </c>
      <c r="J2469" s="514">
        <v>10375</v>
      </c>
      <c r="K2469" s="514">
        <v>10375</v>
      </c>
      <c r="L2469" s="514">
        <v>10375</v>
      </c>
      <c r="M2469" s="514">
        <v>10375</v>
      </c>
      <c r="N2469" s="514">
        <v>10375</v>
      </c>
      <c r="O2469" s="499"/>
      <c r="P2469" s="499"/>
      <c r="Q2469" s="499"/>
    </row>
    <row r="2470" spans="1:17" ht="14.4" x14ac:dyDescent="0.3">
      <c r="A2470" s="502" t="s">
        <v>3953</v>
      </c>
      <c r="B2470" s="503" t="s">
        <v>878</v>
      </c>
      <c r="C2470" s="514">
        <v>54364.55</v>
      </c>
      <c r="D2470" s="514">
        <v>54364.55</v>
      </c>
      <c r="E2470" s="514">
        <v>59169.78</v>
      </c>
      <c r="F2470" s="514">
        <v>59093.88</v>
      </c>
      <c r="G2470" s="514">
        <v>54288.88</v>
      </c>
      <c r="H2470" s="514">
        <v>53087.51</v>
      </c>
      <c r="I2470" s="514">
        <v>51848.31</v>
      </c>
      <c r="J2470" s="514">
        <v>51848.31</v>
      </c>
      <c r="K2470" s="514">
        <v>51848.02</v>
      </c>
      <c r="L2470" s="514">
        <v>54212.68</v>
      </c>
      <c r="M2470" s="514">
        <v>56615.19</v>
      </c>
      <c r="N2470" s="514">
        <v>49518.79</v>
      </c>
      <c r="O2470" s="499"/>
      <c r="P2470" s="499"/>
      <c r="Q2470" s="499"/>
    </row>
    <row r="2471" spans="1:17" ht="14.4" x14ac:dyDescent="0.3">
      <c r="A2471" s="502" t="s">
        <v>3954</v>
      </c>
      <c r="B2471" s="503" t="s">
        <v>3955</v>
      </c>
      <c r="C2471" s="514">
        <v>0</v>
      </c>
      <c r="D2471" s="514">
        <v>0</v>
      </c>
      <c r="E2471" s="514">
        <v>0</v>
      </c>
      <c r="F2471" s="514">
        <v>0</v>
      </c>
      <c r="G2471" s="514">
        <v>0</v>
      </c>
      <c r="H2471" s="514">
        <v>0</v>
      </c>
      <c r="I2471" s="514">
        <v>0</v>
      </c>
      <c r="J2471" s="514">
        <v>0</v>
      </c>
      <c r="K2471" s="514">
        <v>0</v>
      </c>
      <c r="L2471" s="514">
        <v>0</v>
      </c>
      <c r="M2471" s="514">
        <v>0</v>
      </c>
      <c r="N2471" s="514">
        <v>0</v>
      </c>
      <c r="O2471" s="499"/>
      <c r="P2471" s="499"/>
      <c r="Q2471" s="499"/>
    </row>
    <row r="2472" spans="1:17" ht="14.4" x14ac:dyDescent="0.3">
      <c r="A2472" s="502" t="s">
        <v>3956</v>
      </c>
      <c r="B2472" s="503" t="s">
        <v>902</v>
      </c>
      <c r="C2472" s="514">
        <v>0</v>
      </c>
      <c r="D2472" s="514">
        <v>0</v>
      </c>
      <c r="E2472" s="514">
        <v>0</v>
      </c>
      <c r="F2472" s="514">
        <v>0</v>
      </c>
      <c r="G2472" s="514">
        <v>0</v>
      </c>
      <c r="H2472" s="514">
        <v>0</v>
      </c>
      <c r="I2472" s="514">
        <v>0</v>
      </c>
      <c r="J2472" s="514">
        <v>0</v>
      </c>
      <c r="K2472" s="514">
        <v>0</v>
      </c>
      <c r="L2472" s="514">
        <v>0</v>
      </c>
      <c r="M2472" s="514">
        <v>0</v>
      </c>
      <c r="N2472" s="514">
        <v>0</v>
      </c>
      <c r="O2472" s="499"/>
      <c r="P2472" s="499"/>
      <c r="Q2472" s="499"/>
    </row>
    <row r="2473" spans="1:17" ht="14.4" x14ac:dyDescent="0.3">
      <c r="A2473" s="502" t="s">
        <v>3957</v>
      </c>
      <c r="B2473" s="503" t="s">
        <v>906</v>
      </c>
      <c r="C2473" s="514">
        <v>50088.41</v>
      </c>
      <c r="D2473" s="514">
        <v>38738.370000000003</v>
      </c>
      <c r="E2473" s="514">
        <v>33307.49</v>
      </c>
      <c r="F2473" s="514">
        <v>25704.01</v>
      </c>
      <c r="G2473" s="514">
        <v>24292.99</v>
      </c>
      <c r="H2473" s="514">
        <v>31453.05</v>
      </c>
      <c r="I2473" s="514">
        <v>26498.67</v>
      </c>
      <c r="J2473" s="514">
        <v>26128.29</v>
      </c>
      <c r="K2473" s="514">
        <v>26951.93</v>
      </c>
      <c r="L2473" s="514">
        <v>25987.94</v>
      </c>
      <c r="M2473" s="514">
        <v>27820.94</v>
      </c>
      <c r="N2473" s="514">
        <v>38929.620000000003</v>
      </c>
      <c r="O2473" s="499"/>
      <c r="P2473" s="499"/>
      <c r="Q2473" s="499"/>
    </row>
    <row r="2474" spans="1:17" ht="14.4" x14ac:dyDescent="0.3">
      <c r="A2474" s="502" t="s">
        <v>3958</v>
      </c>
      <c r="B2474" s="503" t="s">
        <v>908</v>
      </c>
      <c r="C2474" s="514">
        <v>0</v>
      </c>
      <c r="D2474" s="514">
        <v>100</v>
      </c>
      <c r="E2474" s="514">
        <v>500</v>
      </c>
      <c r="F2474" s="514">
        <v>0</v>
      </c>
      <c r="G2474" s="514">
        <v>100</v>
      </c>
      <c r="H2474" s="514">
        <v>0</v>
      </c>
      <c r="I2474" s="514">
        <v>100</v>
      </c>
      <c r="J2474" s="514">
        <v>0</v>
      </c>
      <c r="K2474" s="514">
        <v>100</v>
      </c>
      <c r="L2474" s="514">
        <v>0</v>
      </c>
      <c r="M2474" s="514">
        <v>100</v>
      </c>
      <c r="N2474" s="514">
        <v>0</v>
      </c>
      <c r="O2474" s="499"/>
      <c r="P2474" s="499"/>
      <c r="Q2474" s="499"/>
    </row>
    <row r="2475" spans="1:17" ht="14.4" x14ac:dyDescent="0.3">
      <c r="A2475" s="502" t="s">
        <v>3959</v>
      </c>
      <c r="B2475" s="503" t="s">
        <v>910</v>
      </c>
      <c r="C2475" s="514">
        <v>6000</v>
      </c>
      <c r="D2475" s="514">
        <v>6000</v>
      </c>
      <c r="E2475" s="514">
        <v>6000</v>
      </c>
      <c r="F2475" s="514">
        <v>6000</v>
      </c>
      <c r="G2475" s="514">
        <v>6000</v>
      </c>
      <c r="H2475" s="514">
        <v>6000</v>
      </c>
      <c r="I2475" s="514">
        <v>6000</v>
      </c>
      <c r="J2475" s="514">
        <v>6000</v>
      </c>
      <c r="K2475" s="514">
        <v>6000</v>
      </c>
      <c r="L2475" s="514">
        <v>6000</v>
      </c>
      <c r="M2475" s="514">
        <v>6000</v>
      </c>
      <c r="N2475" s="514">
        <v>6000</v>
      </c>
      <c r="O2475" s="499"/>
      <c r="P2475" s="499"/>
      <c r="Q2475" s="499"/>
    </row>
    <row r="2476" spans="1:17" ht="14.4" x14ac:dyDescent="0.3">
      <c r="A2476" s="502" t="s">
        <v>3960</v>
      </c>
      <c r="B2476" s="503" t="s">
        <v>912</v>
      </c>
      <c r="C2476" s="514">
        <v>96487.95</v>
      </c>
      <c r="D2476" s="514">
        <v>94502.9</v>
      </c>
      <c r="E2476" s="514">
        <v>103195.96</v>
      </c>
      <c r="F2476" s="514">
        <v>104634.44</v>
      </c>
      <c r="G2476" s="514">
        <v>103116.69</v>
      </c>
      <c r="H2476" s="514">
        <v>112241.34</v>
      </c>
      <c r="I2476" s="514">
        <v>106412.56</v>
      </c>
      <c r="J2476" s="514">
        <v>107978.8</v>
      </c>
      <c r="K2476" s="514">
        <v>108702.5</v>
      </c>
      <c r="L2476" s="514">
        <v>106217.67</v>
      </c>
      <c r="M2476" s="514">
        <v>110928.24</v>
      </c>
      <c r="N2476" s="514">
        <v>133256.57</v>
      </c>
      <c r="O2476" s="499"/>
      <c r="P2476" s="499"/>
      <c r="Q2476" s="499"/>
    </row>
    <row r="2477" spans="1:17" ht="14.4" x14ac:dyDescent="0.3">
      <c r="A2477" s="502" t="s">
        <v>3961</v>
      </c>
      <c r="B2477" s="503" t="s">
        <v>914</v>
      </c>
      <c r="C2477" s="514">
        <v>13863.45</v>
      </c>
      <c r="D2477" s="514">
        <v>14372.45</v>
      </c>
      <c r="E2477" s="514">
        <v>14338.95</v>
      </c>
      <c r="F2477" s="514">
        <v>14008.72</v>
      </c>
      <c r="G2477" s="514">
        <v>14067.72</v>
      </c>
      <c r="H2477" s="514">
        <v>15996.09</v>
      </c>
      <c r="I2477" s="514">
        <v>13344.35</v>
      </c>
      <c r="J2477" s="514">
        <v>14158.35</v>
      </c>
      <c r="K2477" s="514">
        <v>14556.12</v>
      </c>
      <c r="L2477" s="514">
        <v>13763.99</v>
      </c>
      <c r="M2477" s="514">
        <v>15014.74</v>
      </c>
      <c r="N2477" s="514">
        <v>16777.2</v>
      </c>
      <c r="O2477" s="499"/>
      <c r="P2477" s="499"/>
      <c r="Q2477" s="499"/>
    </row>
    <row r="2478" spans="1:17" ht="14.4" x14ac:dyDescent="0.3">
      <c r="A2478" s="502" t="s">
        <v>3962</v>
      </c>
      <c r="B2478" s="503" t="s">
        <v>916</v>
      </c>
      <c r="C2478" s="514">
        <v>5489.73</v>
      </c>
      <c r="D2478" s="514">
        <v>5489.73</v>
      </c>
      <c r="E2478" s="514">
        <v>5489.73</v>
      </c>
      <c r="F2478" s="514">
        <v>6023.97</v>
      </c>
      <c r="G2478" s="514">
        <v>6023.97</v>
      </c>
      <c r="H2478" s="514">
        <v>6023.97</v>
      </c>
      <c r="I2478" s="514">
        <v>6291.1</v>
      </c>
      <c r="J2478" s="514">
        <v>6291.1</v>
      </c>
      <c r="K2478" s="514">
        <v>6291.1</v>
      </c>
      <c r="L2478" s="514">
        <v>6558.22</v>
      </c>
      <c r="M2478" s="514">
        <v>6558.22</v>
      </c>
      <c r="N2478" s="514">
        <v>7893.84</v>
      </c>
      <c r="O2478" s="499"/>
      <c r="P2478" s="499"/>
      <c r="Q2478" s="499"/>
    </row>
    <row r="2479" spans="1:17" ht="14.4" x14ac:dyDescent="0.3">
      <c r="A2479" s="502" t="s">
        <v>3963</v>
      </c>
      <c r="B2479" s="503" t="s">
        <v>918</v>
      </c>
      <c r="C2479" s="514">
        <v>41593.94</v>
      </c>
      <c r="D2479" s="514">
        <v>42106.94</v>
      </c>
      <c r="E2479" s="514">
        <v>62428.44</v>
      </c>
      <c r="F2479" s="514">
        <v>46180.41</v>
      </c>
      <c r="G2479" s="514">
        <v>60781.48</v>
      </c>
      <c r="H2479" s="514">
        <v>77050.41</v>
      </c>
      <c r="I2479" s="514">
        <v>47899.14</v>
      </c>
      <c r="J2479" s="514">
        <v>50136.94</v>
      </c>
      <c r="K2479" s="514">
        <v>57926.64</v>
      </c>
      <c r="L2479" s="514">
        <v>48271.87</v>
      </c>
      <c r="M2479" s="514">
        <v>42905.87</v>
      </c>
      <c r="N2479" s="514">
        <v>59909.34</v>
      </c>
      <c r="O2479" s="499"/>
      <c r="P2479" s="499"/>
      <c r="Q2479" s="499"/>
    </row>
    <row r="2480" spans="1:17" ht="14.4" x14ac:dyDescent="0.3">
      <c r="A2480" s="502" t="s">
        <v>3964</v>
      </c>
      <c r="B2480" s="503" t="s">
        <v>920</v>
      </c>
      <c r="C2480" s="514">
        <v>83393.69</v>
      </c>
      <c r="D2480" s="514">
        <v>77692.39</v>
      </c>
      <c r="E2480" s="514">
        <v>88090.02</v>
      </c>
      <c r="F2480" s="514">
        <v>90899.53</v>
      </c>
      <c r="G2480" s="514">
        <v>83003.990000000005</v>
      </c>
      <c r="H2480" s="514">
        <v>104734</v>
      </c>
      <c r="I2480" s="514">
        <v>83639.929999999993</v>
      </c>
      <c r="J2480" s="514">
        <v>82062.080000000002</v>
      </c>
      <c r="K2480" s="514">
        <v>107888.69</v>
      </c>
      <c r="L2480" s="514">
        <v>84257.32</v>
      </c>
      <c r="M2480" s="514">
        <v>94339.38</v>
      </c>
      <c r="N2480" s="514">
        <v>100209.38</v>
      </c>
      <c r="O2480" s="499"/>
      <c r="P2480" s="499"/>
      <c r="Q2480" s="499"/>
    </row>
    <row r="2481" spans="1:17" ht="14.4" x14ac:dyDescent="0.3">
      <c r="A2481" s="502" t="s">
        <v>3965</v>
      </c>
      <c r="B2481" s="503" t="s">
        <v>3966</v>
      </c>
      <c r="C2481" s="514">
        <v>0</v>
      </c>
      <c r="D2481" s="514">
        <v>0</v>
      </c>
      <c r="E2481" s="514">
        <v>0</v>
      </c>
      <c r="F2481" s="514">
        <v>0</v>
      </c>
      <c r="G2481" s="514">
        <v>0</v>
      </c>
      <c r="H2481" s="514">
        <v>0</v>
      </c>
      <c r="I2481" s="514">
        <v>0</v>
      </c>
      <c r="J2481" s="514">
        <v>0</v>
      </c>
      <c r="K2481" s="514">
        <v>0</v>
      </c>
      <c r="L2481" s="514">
        <v>0</v>
      </c>
      <c r="M2481" s="514">
        <v>0</v>
      </c>
      <c r="N2481" s="514">
        <v>0</v>
      </c>
      <c r="O2481" s="499"/>
      <c r="P2481" s="499"/>
      <c r="Q2481" s="499"/>
    </row>
    <row r="2482" spans="1:17" ht="14.4" x14ac:dyDescent="0.3">
      <c r="A2482" s="502" t="s">
        <v>3967</v>
      </c>
      <c r="B2482" s="503" t="s">
        <v>928</v>
      </c>
      <c r="C2482" s="514">
        <v>22143.31</v>
      </c>
      <c r="D2482" s="514">
        <v>15297.31</v>
      </c>
      <c r="E2482" s="514">
        <v>11044.31</v>
      </c>
      <c r="F2482" s="514">
        <v>10854.85</v>
      </c>
      <c r="G2482" s="514">
        <v>11192.8</v>
      </c>
      <c r="H2482" s="514">
        <v>11447.85</v>
      </c>
      <c r="I2482" s="514">
        <v>11062.12</v>
      </c>
      <c r="J2482" s="514">
        <v>11137.12</v>
      </c>
      <c r="K2482" s="514">
        <v>11494.12</v>
      </c>
      <c r="L2482" s="514">
        <v>12165.39</v>
      </c>
      <c r="M2482" s="514">
        <v>13275.39</v>
      </c>
      <c r="N2482" s="514">
        <v>18334.740000000002</v>
      </c>
      <c r="O2482" s="499"/>
      <c r="P2482" s="499"/>
      <c r="Q2482" s="499"/>
    </row>
    <row r="2483" spans="1:17" ht="14.4" x14ac:dyDescent="0.3">
      <c r="A2483" s="502" t="s">
        <v>3968</v>
      </c>
      <c r="B2483" s="503" t="s">
        <v>922</v>
      </c>
      <c r="C2483" s="514">
        <v>125509.11</v>
      </c>
      <c r="D2483" s="514">
        <v>125772.91</v>
      </c>
      <c r="E2483" s="514">
        <v>135407.14000000001</v>
      </c>
      <c r="F2483" s="514">
        <v>171524.87</v>
      </c>
      <c r="G2483" s="514">
        <v>121385.25</v>
      </c>
      <c r="H2483" s="514">
        <v>169461.52</v>
      </c>
      <c r="I2483" s="514">
        <v>122621.23</v>
      </c>
      <c r="J2483" s="514">
        <v>124544.39</v>
      </c>
      <c r="K2483" s="514">
        <v>149860.01</v>
      </c>
      <c r="L2483" s="514">
        <v>164592.94</v>
      </c>
      <c r="M2483" s="514">
        <v>138519.71</v>
      </c>
      <c r="N2483" s="514">
        <v>232524.3</v>
      </c>
      <c r="O2483" s="499"/>
      <c r="P2483" s="499"/>
      <c r="Q2483" s="499"/>
    </row>
    <row r="2484" spans="1:17" ht="14.4" x14ac:dyDescent="0.3">
      <c r="A2484" s="502" t="s">
        <v>3969</v>
      </c>
      <c r="B2484" s="503" t="s">
        <v>924</v>
      </c>
      <c r="C2484" s="514">
        <v>0</v>
      </c>
      <c r="D2484" s="514">
        <v>0</v>
      </c>
      <c r="E2484" s="514">
        <v>0</v>
      </c>
      <c r="F2484" s="514">
        <v>0</v>
      </c>
      <c r="G2484" s="514">
        <v>0</v>
      </c>
      <c r="H2484" s="514">
        <v>0</v>
      </c>
      <c r="I2484" s="514">
        <v>0</v>
      </c>
      <c r="J2484" s="514">
        <v>0</v>
      </c>
      <c r="K2484" s="514">
        <v>0</v>
      </c>
      <c r="L2484" s="514">
        <v>0</v>
      </c>
      <c r="M2484" s="514">
        <v>0</v>
      </c>
      <c r="N2484" s="514">
        <v>0</v>
      </c>
      <c r="O2484" s="499"/>
      <c r="P2484" s="499"/>
      <c r="Q2484" s="499"/>
    </row>
    <row r="2485" spans="1:17" ht="14.4" x14ac:dyDescent="0.3">
      <c r="A2485" s="502" t="s">
        <v>3970</v>
      </c>
      <c r="B2485" s="503" t="s">
        <v>926</v>
      </c>
      <c r="C2485" s="514">
        <v>0</v>
      </c>
      <c r="D2485" s="514">
        <v>0</v>
      </c>
      <c r="E2485" s="514">
        <v>0</v>
      </c>
      <c r="F2485" s="514">
        <v>0</v>
      </c>
      <c r="G2485" s="514">
        <v>0</v>
      </c>
      <c r="H2485" s="514">
        <v>0</v>
      </c>
      <c r="I2485" s="514">
        <v>0</v>
      </c>
      <c r="J2485" s="514">
        <v>0</v>
      </c>
      <c r="K2485" s="514">
        <v>0</v>
      </c>
      <c r="L2485" s="514">
        <v>0</v>
      </c>
      <c r="M2485" s="514">
        <v>0</v>
      </c>
      <c r="N2485" s="514">
        <v>0</v>
      </c>
      <c r="O2485" s="499"/>
      <c r="P2485" s="499"/>
      <c r="Q2485" s="499"/>
    </row>
    <row r="2486" spans="1:17" ht="14.4" x14ac:dyDescent="0.3">
      <c r="A2486" s="502" t="s">
        <v>3971</v>
      </c>
      <c r="B2486" s="503" t="s">
        <v>1164</v>
      </c>
      <c r="C2486" s="514">
        <v>1500</v>
      </c>
      <c r="D2486" s="514">
        <v>1500</v>
      </c>
      <c r="E2486" s="514">
        <v>1500</v>
      </c>
      <c r="F2486" s="514">
        <v>1500</v>
      </c>
      <c r="G2486" s="514">
        <v>1500</v>
      </c>
      <c r="H2486" s="514">
        <v>1500</v>
      </c>
      <c r="I2486" s="514">
        <v>1500</v>
      </c>
      <c r="J2486" s="514">
        <v>1500</v>
      </c>
      <c r="K2486" s="514">
        <v>1500</v>
      </c>
      <c r="L2486" s="514">
        <v>1500</v>
      </c>
      <c r="M2486" s="514">
        <v>1500</v>
      </c>
      <c r="N2486" s="514">
        <v>1500</v>
      </c>
      <c r="O2486" s="499"/>
      <c r="P2486" s="499"/>
      <c r="Q2486" s="499"/>
    </row>
    <row r="2487" spans="1:17" ht="14.4" x14ac:dyDescent="0.3">
      <c r="A2487" s="502" t="s">
        <v>3972</v>
      </c>
      <c r="B2487" s="503" t="s">
        <v>1172</v>
      </c>
      <c r="C2487" s="514">
        <v>8578.07</v>
      </c>
      <c r="D2487" s="514">
        <v>111340.37</v>
      </c>
      <c r="E2487" s="514">
        <v>184398.07</v>
      </c>
      <c r="F2487" s="514">
        <v>81535.27</v>
      </c>
      <c r="G2487" s="514">
        <v>74967.77</v>
      </c>
      <c r="H2487" s="514">
        <v>102578.07</v>
      </c>
      <c r="I2487" s="514">
        <v>93940.87</v>
      </c>
      <c r="J2487" s="514">
        <v>174797.57</v>
      </c>
      <c r="K2487" s="514">
        <v>131035.27</v>
      </c>
      <c r="L2487" s="514">
        <v>75940.87</v>
      </c>
      <c r="M2487" s="514">
        <v>75940.87</v>
      </c>
      <c r="N2487" s="514">
        <v>38404.57</v>
      </c>
      <c r="O2487" s="499"/>
      <c r="P2487" s="499"/>
      <c r="Q2487" s="499"/>
    </row>
    <row r="2488" spans="1:17" ht="14.4" x14ac:dyDescent="0.3">
      <c r="A2488" s="502" t="s">
        <v>3973</v>
      </c>
      <c r="B2488" s="503" t="s">
        <v>3974</v>
      </c>
      <c r="C2488" s="514">
        <v>0</v>
      </c>
      <c r="D2488" s="514">
        <v>0</v>
      </c>
      <c r="E2488" s="514">
        <v>0</v>
      </c>
      <c r="F2488" s="514">
        <v>0</v>
      </c>
      <c r="G2488" s="514">
        <v>0</v>
      </c>
      <c r="H2488" s="514">
        <v>0</v>
      </c>
      <c r="I2488" s="514">
        <v>0</v>
      </c>
      <c r="J2488" s="514">
        <v>0</v>
      </c>
      <c r="K2488" s="514">
        <v>0</v>
      </c>
      <c r="L2488" s="514">
        <v>0</v>
      </c>
      <c r="M2488" s="514">
        <v>0</v>
      </c>
      <c r="N2488" s="514">
        <v>0</v>
      </c>
      <c r="O2488" s="499"/>
      <c r="P2488" s="499"/>
      <c r="Q2488" s="499"/>
    </row>
    <row r="2489" spans="1:17" ht="14.4" x14ac:dyDescent="0.3">
      <c r="A2489" s="502" t="s">
        <v>3975</v>
      </c>
      <c r="B2489" s="503" t="s">
        <v>1174</v>
      </c>
      <c r="C2489" s="514">
        <v>172285.71</v>
      </c>
      <c r="D2489" s="514">
        <v>0</v>
      </c>
      <c r="E2489" s="514">
        <v>77000</v>
      </c>
      <c r="F2489" s="514">
        <v>0</v>
      </c>
      <c r="G2489" s="514">
        <v>172285.71</v>
      </c>
      <c r="H2489" s="514">
        <v>95285.71</v>
      </c>
      <c r="I2489" s="514">
        <v>77000</v>
      </c>
      <c r="J2489" s="514">
        <v>95285.71</v>
      </c>
      <c r="K2489" s="514">
        <v>171285.71</v>
      </c>
      <c r="L2489" s="514">
        <v>0</v>
      </c>
      <c r="M2489" s="514">
        <v>170285.71</v>
      </c>
      <c r="N2489" s="514">
        <v>95285.71</v>
      </c>
      <c r="O2489" s="499"/>
      <c r="P2489" s="499"/>
      <c r="Q2489" s="499"/>
    </row>
    <row r="2490" spans="1:17" ht="14.4" x14ac:dyDescent="0.3">
      <c r="A2490" s="502" t="s">
        <v>3976</v>
      </c>
      <c r="B2490" s="503" t="s">
        <v>1176</v>
      </c>
      <c r="C2490" s="514">
        <v>333.92</v>
      </c>
      <c r="D2490" s="514">
        <v>333.92</v>
      </c>
      <c r="E2490" s="514">
        <v>429.33</v>
      </c>
      <c r="F2490" s="514">
        <v>477.03</v>
      </c>
      <c r="G2490" s="514">
        <v>381.62</v>
      </c>
      <c r="H2490" s="514">
        <v>357.77</v>
      </c>
      <c r="I2490" s="514">
        <v>357.77</v>
      </c>
      <c r="J2490" s="514">
        <v>357.77</v>
      </c>
      <c r="K2490" s="514">
        <v>357.77</v>
      </c>
      <c r="L2490" s="514">
        <v>429.33</v>
      </c>
      <c r="M2490" s="514">
        <v>477.03</v>
      </c>
      <c r="N2490" s="514">
        <v>477.03</v>
      </c>
      <c r="O2490" s="499"/>
      <c r="P2490" s="499"/>
      <c r="Q2490" s="499"/>
    </row>
    <row r="2491" spans="1:17" ht="14.4" x14ac:dyDescent="0.3">
      <c r="A2491" s="502" t="s">
        <v>3977</v>
      </c>
      <c r="B2491" s="503" t="s">
        <v>1178</v>
      </c>
      <c r="C2491" s="514">
        <v>16956.25</v>
      </c>
      <c r="D2491" s="514">
        <v>16956.25</v>
      </c>
      <c r="E2491" s="514">
        <v>16956.25</v>
      </c>
      <c r="F2491" s="514">
        <v>17256.25</v>
      </c>
      <c r="G2491" s="514">
        <v>17256.25</v>
      </c>
      <c r="H2491" s="514">
        <v>53848.61</v>
      </c>
      <c r="I2491" s="514">
        <v>17406.25</v>
      </c>
      <c r="J2491" s="514">
        <v>17406.25</v>
      </c>
      <c r="K2491" s="514">
        <v>17406.25</v>
      </c>
      <c r="L2491" s="514">
        <v>17556.25</v>
      </c>
      <c r="M2491" s="514">
        <v>17556.25</v>
      </c>
      <c r="N2491" s="514">
        <v>18306.25</v>
      </c>
      <c r="O2491" s="499"/>
      <c r="P2491" s="499"/>
      <c r="Q2491" s="499"/>
    </row>
    <row r="2492" spans="1:17" ht="14.4" x14ac:dyDescent="0.3">
      <c r="A2492" s="502" t="s">
        <v>3978</v>
      </c>
      <c r="B2492" s="503" t="s">
        <v>1166</v>
      </c>
      <c r="C2492" s="514">
        <v>106689.32</v>
      </c>
      <c r="D2492" s="514">
        <v>104744</v>
      </c>
      <c r="E2492" s="514">
        <v>208119</v>
      </c>
      <c r="F2492" s="514">
        <v>106689.32</v>
      </c>
      <c r="G2492" s="514">
        <v>104744</v>
      </c>
      <c r="H2492" s="514">
        <v>205619</v>
      </c>
      <c r="I2492" s="514">
        <v>109689.32</v>
      </c>
      <c r="J2492" s="514">
        <v>104744</v>
      </c>
      <c r="K2492" s="514">
        <v>208119</v>
      </c>
      <c r="L2492" s="514">
        <v>106689.32</v>
      </c>
      <c r="M2492" s="514">
        <v>104744</v>
      </c>
      <c r="N2492" s="514">
        <v>213859</v>
      </c>
      <c r="O2492" s="499"/>
      <c r="P2492" s="499"/>
      <c r="Q2492" s="499"/>
    </row>
    <row r="2493" spans="1:17" ht="14.4" x14ac:dyDescent="0.3">
      <c r="A2493" s="502" t="s">
        <v>3979</v>
      </c>
      <c r="B2493" s="503" t="s">
        <v>1180</v>
      </c>
      <c r="C2493" s="514">
        <v>188256.21</v>
      </c>
      <c r="D2493" s="514">
        <v>203257.21</v>
      </c>
      <c r="E2493" s="514">
        <v>223256.21</v>
      </c>
      <c r="F2493" s="514">
        <v>213257.21</v>
      </c>
      <c r="G2493" s="514">
        <v>257868.71</v>
      </c>
      <c r="H2493" s="514">
        <v>213257.21</v>
      </c>
      <c r="I2493" s="514">
        <v>213256.21</v>
      </c>
      <c r="J2493" s="514">
        <v>233257.21</v>
      </c>
      <c r="K2493" s="514">
        <v>218257.21</v>
      </c>
      <c r="L2493" s="514">
        <v>226590.21</v>
      </c>
      <c r="M2493" s="514">
        <v>230757.21</v>
      </c>
      <c r="N2493" s="514">
        <v>201860.21</v>
      </c>
      <c r="O2493" s="499"/>
      <c r="P2493" s="499"/>
      <c r="Q2493" s="499"/>
    </row>
    <row r="2494" spans="1:17" ht="14.4" x14ac:dyDescent="0.3">
      <c r="A2494" s="502" t="s">
        <v>3980</v>
      </c>
      <c r="B2494" s="503" t="s">
        <v>1182</v>
      </c>
      <c r="C2494" s="514">
        <v>621566.69999999995</v>
      </c>
      <c r="D2494" s="514">
        <v>198456.7</v>
      </c>
      <c r="E2494" s="514">
        <v>225456.7</v>
      </c>
      <c r="F2494" s="514">
        <v>443380.5</v>
      </c>
      <c r="G2494" s="514">
        <v>243133.7</v>
      </c>
      <c r="H2494" s="514">
        <v>208256.7</v>
      </c>
      <c r="I2494" s="514">
        <v>297696.7</v>
      </c>
      <c r="J2494" s="514">
        <v>242298.7</v>
      </c>
      <c r="K2494" s="514">
        <v>297456.7</v>
      </c>
      <c r="L2494" s="514">
        <v>253786.7</v>
      </c>
      <c r="M2494" s="514">
        <v>225956.7</v>
      </c>
      <c r="N2494" s="514">
        <v>207599.7</v>
      </c>
      <c r="O2494" s="499"/>
      <c r="P2494" s="499"/>
      <c r="Q2494" s="499"/>
    </row>
    <row r="2495" spans="1:17" ht="14.4" x14ac:dyDescent="0.3">
      <c r="A2495" s="502" t="s">
        <v>3981</v>
      </c>
      <c r="B2495" s="503" t="s">
        <v>1184</v>
      </c>
      <c r="C2495" s="514">
        <v>0</v>
      </c>
      <c r="D2495" s="514">
        <v>0</v>
      </c>
      <c r="E2495" s="514">
        <v>55000</v>
      </c>
      <c r="F2495" s="514">
        <v>0</v>
      </c>
      <c r="G2495" s="514">
        <v>55000</v>
      </c>
      <c r="H2495" s="514">
        <v>20000</v>
      </c>
      <c r="I2495" s="514">
        <v>55000</v>
      </c>
      <c r="J2495" s="514">
        <v>0</v>
      </c>
      <c r="K2495" s="514">
        <v>75000</v>
      </c>
      <c r="L2495" s="514">
        <v>0</v>
      </c>
      <c r="M2495" s="514">
        <v>20000</v>
      </c>
      <c r="N2495" s="514">
        <v>0</v>
      </c>
      <c r="O2495" s="499"/>
      <c r="P2495" s="499"/>
      <c r="Q2495" s="499"/>
    </row>
    <row r="2496" spans="1:17" ht="14.4" x14ac:dyDescent="0.3">
      <c r="A2496" s="502" t="s">
        <v>3982</v>
      </c>
      <c r="B2496" s="503" t="s">
        <v>1186</v>
      </c>
      <c r="C2496" s="514">
        <v>5801681.21</v>
      </c>
      <c r="D2496" s="514">
        <v>8308234.4100000001</v>
      </c>
      <c r="E2496" s="514">
        <v>9381902.0999999996</v>
      </c>
      <c r="F2496" s="514">
        <v>7778345.2599999998</v>
      </c>
      <c r="G2496" s="514">
        <v>5996847.9800000004</v>
      </c>
      <c r="H2496" s="514">
        <v>6003348.5700000003</v>
      </c>
      <c r="I2496" s="514">
        <v>6662348.1699999999</v>
      </c>
      <c r="J2496" s="514">
        <v>6392220.2199999997</v>
      </c>
      <c r="K2496" s="514">
        <v>8411353.4800000004</v>
      </c>
      <c r="L2496" s="514">
        <v>9866121.0299999993</v>
      </c>
      <c r="M2496" s="514">
        <v>8005553.9900000002</v>
      </c>
      <c r="N2496" s="514">
        <v>6622388.71</v>
      </c>
      <c r="O2496" s="499"/>
      <c r="P2496" s="499"/>
      <c r="Q2496" s="499"/>
    </row>
    <row r="2497" spans="1:17" ht="14.4" x14ac:dyDescent="0.3">
      <c r="A2497" s="502" t="s">
        <v>3983</v>
      </c>
      <c r="B2497" s="503" t="s">
        <v>3984</v>
      </c>
      <c r="C2497" s="514">
        <v>0</v>
      </c>
      <c r="D2497" s="514">
        <v>0</v>
      </c>
      <c r="E2497" s="514">
        <v>0</v>
      </c>
      <c r="F2497" s="514">
        <v>0</v>
      </c>
      <c r="G2497" s="514">
        <v>0</v>
      </c>
      <c r="H2497" s="514">
        <v>0</v>
      </c>
      <c r="I2497" s="514">
        <v>0</v>
      </c>
      <c r="J2497" s="514">
        <v>0</v>
      </c>
      <c r="K2497" s="514">
        <v>0</v>
      </c>
      <c r="L2497" s="514">
        <v>0</v>
      </c>
      <c r="M2497" s="514">
        <v>0</v>
      </c>
      <c r="N2497" s="514">
        <v>0</v>
      </c>
      <c r="O2497" s="499"/>
      <c r="P2497" s="499"/>
      <c r="Q2497" s="499"/>
    </row>
    <row r="2498" spans="1:17" ht="14.4" x14ac:dyDescent="0.3">
      <c r="A2498" s="502" t="s">
        <v>3985</v>
      </c>
      <c r="B2498" s="503" t="s">
        <v>3986</v>
      </c>
      <c r="C2498" s="514">
        <v>106</v>
      </c>
      <c r="D2498" s="514">
        <v>0</v>
      </c>
      <c r="E2498" s="514">
        <v>795</v>
      </c>
      <c r="F2498" s="514">
        <v>2223</v>
      </c>
      <c r="G2498" s="514">
        <v>622</v>
      </c>
      <c r="H2498" s="514">
        <v>2126</v>
      </c>
      <c r="I2498" s="514">
        <v>1534</v>
      </c>
      <c r="J2498" s="514">
        <v>0</v>
      </c>
      <c r="K2498" s="514">
        <v>265</v>
      </c>
      <c r="L2498" s="514">
        <v>24</v>
      </c>
      <c r="M2498" s="514">
        <v>162</v>
      </c>
      <c r="N2498" s="514">
        <v>290</v>
      </c>
      <c r="O2498" s="499"/>
      <c r="P2498" s="499"/>
      <c r="Q2498" s="499"/>
    </row>
    <row r="2499" spans="1:17" ht="14.4" x14ac:dyDescent="0.3">
      <c r="A2499" s="502" t="s">
        <v>3987</v>
      </c>
      <c r="B2499" s="503" t="s">
        <v>3988</v>
      </c>
      <c r="C2499" s="514">
        <v>0</v>
      </c>
      <c r="D2499" s="514">
        <v>0</v>
      </c>
      <c r="E2499" s="514">
        <v>0</v>
      </c>
      <c r="F2499" s="514">
        <v>0</v>
      </c>
      <c r="G2499" s="514">
        <v>0</v>
      </c>
      <c r="H2499" s="514">
        <v>0</v>
      </c>
      <c r="I2499" s="514">
        <v>0</v>
      </c>
      <c r="J2499" s="514">
        <v>0</v>
      </c>
      <c r="K2499" s="514">
        <v>0</v>
      </c>
      <c r="L2499" s="514">
        <v>0</v>
      </c>
      <c r="M2499" s="514">
        <v>0</v>
      </c>
      <c r="N2499" s="514">
        <v>0</v>
      </c>
      <c r="O2499" s="499"/>
      <c r="P2499" s="499"/>
      <c r="Q2499" s="499"/>
    </row>
    <row r="2500" spans="1:17" ht="14.4" x14ac:dyDescent="0.3">
      <c r="A2500" s="502" t="s">
        <v>3989</v>
      </c>
      <c r="B2500" s="503" t="s">
        <v>1168</v>
      </c>
      <c r="C2500" s="514">
        <v>2387124.4900000002</v>
      </c>
      <c r="D2500" s="514">
        <v>2387141.4900000002</v>
      </c>
      <c r="E2500" s="514">
        <v>2387141.4900000002</v>
      </c>
      <c r="F2500" s="514">
        <v>2387989.4900000002</v>
      </c>
      <c r="G2500" s="514">
        <v>2387141.4900000002</v>
      </c>
      <c r="H2500" s="514">
        <v>2387191.4900000002</v>
      </c>
      <c r="I2500" s="514">
        <v>2387224.4900000002</v>
      </c>
      <c r="J2500" s="514">
        <v>2387141.4900000002</v>
      </c>
      <c r="K2500" s="514">
        <v>2387194.4900000002</v>
      </c>
      <c r="L2500" s="514">
        <v>2387141.4900000002</v>
      </c>
      <c r="M2500" s="514">
        <v>2387141.4900000002</v>
      </c>
      <c r="N2500" s="514">
        <v>2392655.14</v>
      </c>
      <c r="O2500" s="499"/>
      <c r="P2500" s="499"/>
      <c r="Q2500" s="499"/>
    </row>
    <row r="2501" spans="1:17" ht="14.4" x14ac:dyDescent="0.3">
      <c r="A2501" s="502" t="s">
        <v>3990</v>
      </c>
      <c r="B2501" s="503" t="s">
        <v>1188</v>
      </c>
      <c r="C2501" s="514">
        <v>417.6</v>
      </c>
      <c r="D2501" s="514">
        <v>416.6</v>
      </c>
      <c r="E2501" s="514">
        <v>4030.49</v>
      </c>
      <c r="F2501" s="514">
        <v>422.43</v>
      </c>
      <c r="G2501" s="514">
        <v>526.19000000000005</v>
      </c>
      <c r="H2501" s="514">
        <v>4007.57</v>
      </c>
      <c r="I2501" s="514">
        <v>417.57</v>
      </c>
      <c r="J2501" s="514">
        <v>427.57</v>
      </c>
      <c r="K2501" s="514">
        <v>1417.57</v>
      </c>
      <c r="L2501" s="514">
        <v>720.49</v>
      </c>
      <c r="M2501" s="514">
        <v>2925.43</v>
      </c>
      <c r="N2501" s="514">
        <v>1422.43</v>
      </c>
      <c r="O2501" s="499"/>
      <c r="P2501" s="499"/>
      <c r="Q2501" s="499"/>
    </row>
    <row r="2502" spans="1:17" ht="14.4" x14ac:dyDescent="0.3">
      <c r="A2502" s="502" t="s">
        <v>3991</v>
      </c>
      <c r="B2502" s="503" t="s">
        <v>1190</v>
      </c>
      <c r="C2502" s="514">
        <v>350000</v>
      </c>
      <c r="D2502" s="514">
        <v>350000</v>
      </c>
      <c r="E2502" s="514">
        <v>350000</v>
      </c>
      <c r="F2502" s="514">
        <v>350000</v>
      </c>
      <c r="G2502" s="514">
        <v>350000</v>
      </c>
      <c r="H2502" s="514">
        <v>350000</v>
      </c>
      <c r="I2502" s="514">
        <v>350000</v>
      </c>
      <c r="J2502" s="514">
        <v>350000</v>
      </c>
      <c r="K2502" s="514">
        <v>350000</v>
      </c>
      <c r="L2502" s="514">
        <v>350000</v>
      </c>
      <c r="M2502" s="514">
        <v>350000</v>
      </c>
      <c r="N2502" s="514">
        <v>350000</v>
      </c>
      <c r="O2502" s="499"/>
      <c r="P2502" s="499"/>
      <c r="Q2502" s="499"/>
    </row>
    <row r="2503" spans="1:17" ht="14.4" x14ac:dyDescent="0.3">
      <c r="A2503" s="502" t="s">
        <v>3992</v>
      </c>
      <c r="B2503" s="503" t="s">
        <v>1192</v>
      </c>
      <c r="C2503" s="514">
        <v>250</v>
      </c>
      <c r="D2503" s="514">
        <v>250</v>
      </c>
      <c r="E2503" s="514">
        <v>250</v>
      </c>
      <c r="F2503" s="514">
        <v>250</v>
      </c>
      <c r="G2503" s="514">
        <v>250</v>
      </c>
      <c r="H2503" s="514">
        <v>250</v>
      </c>
      <c r="I2503" s="514">
        <v>250</v>
      </c>
      <c r="J2503" s="514">
        <v>250</v>
      </c>
      <c r="K2503" s="514">
        <v>250</v>
      </c>
      <c r="L2503" s="514">
        <v>250</v>
      </c>
      <c r="M2503" s="514">
        <v>250</v>
      </c>
      <c r="N2503" s="514">
        <v>250</v>
      </c>
      <c r="O2503" s="499"/>
      <c r="P2503" s="499"/>
      <c r="Q2503" s="499"/>
    </row>
    <row r="2504" spans="1:17" ht="14.4" x14ac:dyDescent="0.3">
      <c r="A2504" s="502" t="s">
        <v>3993</v>
      </c>
      <c r="B2504" s="503" t="s">
        <v>1194</v>
      </c>
      <c r="C2504" s="514">
        <v>12764.21</v>
      </c>
      <c r="D2504" s="514">
        <v>12764.21</v>
      </c>
      <c r="E2504" s="514">
        <v>12764.21</v>
      </c>
      <c r="F2504" s="514">
        <v>14587.67</v>
      </c>
      <c r="G2504" s="514">
        <v>14587.67</v>
      </c>
      <c r="H2504" s="514">
        <v>14587.67</v>
      </c>
      <c r="I2504" s="514">
        <v>15499.4</v>
      </c>
      <c r="J2504" s="514">
        <v>15499.4</v>
      </c>
      <c r="K2504" s="514">
        <v>15499.4</v>
      </c>
      <c r="L2504" s="514">
        <v>16411.12</v>
      </c>
      <c r="M2504" s="514">
        <v>16411.12</v>
      </c>
      <c r="N2504" s="514">
        <v>20969.77</v>
      </c>
      <c r="O2504" s="499"/>
      <c r="P2504" s="499"/>
      <c r="Q2504" s="499"/>
    </row>
    <row r="2505" spans="1:17" ht="14.4" x14ac:dyDescent="0.3">
      <c r="A2505" s="502" t="s">
        <v>3994</v>
      </c>
      <c r="B2505" s="503" t="s">
        <v>1170</v>
      </c>
      <c r="C2505" s="514">
        <v>1615002.59</v>
      </c>
      <c r="D2505" s="514">
        <v>1390472.51</v>
      </c>
      <c r="E2505" s="514">
        <v>1447465.08</v>
      </c>
      <c r="F2505" s="514">
        <v>1627285.92</v>
      </c>
      <c r="G2505" s="514">
        <v>1567441.64</v>
      </c>
      <c r="H2505" s="514">
        <v>1554116.61</v>
      </c>
      <c r="I2505" s="514">
        <v>1675369.35</v>
      </c>
      <c r="J2505" s="514">
        <v>1564406.53</v>
      </c>
      <c r="K2505" s="514">
        <v>1603722.58</v>
      </c>
      <c r="L2505" s="514">
        <v>1403336.53</v>
      </c>
      <c r="M2505" s="514">
        <v>1469594.61</v>
      </c>
      <c r="N2505" s="514">
        <v>1772492.13</v>
      </c>
      <c r="O2505" s="499"/>
      <c r="P2505" s="499"/>
      <c r="Q2505" s="499"/>
    </row>
    <row r="2506" spans="1:17" ht="14.4" x14ac:dyDescent="0.3">
      <c r="A2506" s="502" t="s">
        <v>3995</v>
      </c>
      <c r="B2506" s="503" t="s">
        <v>3996</v>
      </c>
      <c r="C2506" s="514">
        <v>0</v>
      </c>
      <c r="D2506" s="514">
        <v>0</v>
      </c>
      <c r="E2506" s="514">
        <v>8400</v>
      </c>
      <c r="F2506" s="514">
        <v>0</v>
      </c>
      <c r="G2506" s="514">
        <v>8400</v>
      </c>
      <c r="H2506" s="514">
        <v>12600</v>
      </c>
      <c r="I2506" s="514">
        <v>8400</v>
      </c>
      <c r="J2506" s="514">
        <v>0</v>
      </c>
      <c r="K2506" s="514">
        <v>4200</v>
      </c>
      <c r="L2506" s="514">
        <v>12600</v>
      </c>
      <c r="M2506" s="514">
        <v>0</v>
      </c>
      <c r="N2506" s="514">
        <v>0</v>
      </c>
      <c r="O2506" s="499"/>
      <c r="P2506" s="499"/>
      <c r="Q2506" s="499"/>
    </row>
    <row r="2507" spans="1:17" ht="14.4" x14ac:dyDescent="0.3">
      <c r="A2507" s="502" t="s">
        <v>3997</v>
      </c>
      <c r="B2507" s="503" t="s">
        <v>1196</v>
      </c>
      <c r="C2507" s="514">
        <v>53998.5</v>
      </c>
      <c r="D2507" s="514">
        <v>53998.5</v>
      </c>
      <c r="E2507" s="514">
        <v>53998.5</v>
      </c>
      <c r="F2507" s="514">
        <v>53998.5</v>
      </c>
      <c r="G2507" s="514">
        <v>53998.5</v>
      </c>
      <c r="H2507" s="514">
        <v>53998.5</v>
      </c>
      <c r="I2507" s="514">
        <v>53998.5</v>
      </c>
      <c r="J2507" s="514">
        <v>53998.5</v>
      </c>
      <c r="K2507" s="514">
        <v>53998.5</v>
      </c>
      <c r="L2507" s="514">
        <v>53998.5</v>
      </c>
      <c r="M2507" s="514">
        <v>53998.5</v>
      </c>
      <c r="N2507" s="514">
        <v>53998.5</v>
      </c>
      <c r="O2507" s="499"/>
      <c r="P2507" s="499"/>
      <c r="Q2507" s="499"/>
    </row>
    <row r="2508" spans="1:17" ht="14.4" x14ac:dyDescent="0.3">
      <c r="A2508" s="502" t="s">
        <v>3998</v>
      </c>
      <c r="B2508" s="503" t="s">
        <v>3999</v>
      </c>
      <c r="C2508" s="514">
        <v>0</v>
      </c>
      <c r="D2508" s="514">
        <v>0</v>
      </c>
      <c r="E2508" s="514">
        <v>0</v>
      </c>
      <c r="F2508" s="514">
        <v>0</v>
      </c>
      <c r="G2508" s="514">
        <v>0</v>
      </c>
      <c r="H2508" s="514">
        <v>0</v>
      </c>
      <c r="I2508" s="514">
        <v>0</v>
      </c>
      <c r="J2508" s="514">
        <v>0</v>
      </c>
      <c r="K2508" s="514">
        <v>0</v>
      </c>
      <c r="L2508" s="514">
        <v>0</v>
      </c>
      <c r="M2508" s="514">
        <v>0</v>
      </c>
      <c r="N2508" s="514">
        <v>0</v>
      </c>
      <c r="O2508" s="499"/>
      <c r="P2508" s="499"/>
      <c r="Q2508" s="499"/>
    </row>
    <row r="2509" spans="1:17" ht="14.4" x14ac:dyDescent="0.3">
      <c r="A2509" s="502" t="s">
        <v>4000</v>
      </c>
      <c r="B2509" s="503" t="s">
        <v>4001</v>
      </c>
      <c r="C2509" s="514">
        <v>0</v>
      </c>
      <c r="D2509" s="514">
        <v>0</v>
      </c>
      <c r="E2509" s="514">
        <v>0</v>
      </c>
      <c r="F2509" s="514">
        <v>0</v>
      </c>
      <c r="G2509" s="514">
        <v>0</v>
      </c>
      <c r="H2509" s="514">
        <v>0</v>
      </c>
      <c r="I2509" s="514">
        <v>0</v>
      </c>
      <c r="J2509" s="514">
        <v>0</v>
      </c>
      <c r="K2509" s="514">
        <v>0</v>
      </c>
      <c r="L2509" s="514">
        <v>0</v>
      </c>
      <c r="M2509" s="514">
        <v>0</v>
      </c>
      <c r="N2509" s="514">
        <v>0</v>
      </c>
      <c r="O2509" s="499"/>
      <c r="P2509" s="499"/>
      <c r="Q2509" s="499"/>
    </row>
    <row r="2510" spans="1:17" ht="14.4" x14ac:dyDescent="0.3">
      <c r="A2510" s="502" t="s">
        <v>4002</v>
      </c>
      <c r="B2510" s="503" t="s">
        <v>703</v>
      </c>
      <c r="C2510" s="514">
        <v>4063129</v>
      </c>
      <c r="D2510" s="514">
        <v>2430454</v>
      </c>
      <c r="E2510" s="514">
        <v>1727102</v>
      </c>
      <c r="F2510" s="514">
        <v>1291047</v>
      </c>
      <c r="G2510" s="514">
        <v>0</v>
      </c>
      <c r="H2510" s="514">
        <v>0</v>
      </c>
      <c r="I2510" s="514">
        <v>1410539</v>
      </c>
      <c r="J2510" s="514">
        <v>0</v>
      </c>
      <c r="K2510" s="514">
        <v>0</v>
      </c>
      <c r="L2510" s="514">
        <v>0</v>
      </c>
      <c r="M2510" s="514">
        <v>0</v>
      </c>
      <c r="N2510" s="514">
        <v>4004657</v>
      </c>
      <c r="O2510" s="499"/>
      <c r="P2510" s="499"/>
      <c r="Q2510" s="499"/>
    </row>
    <row r="2511" spans="1:17" ht="14.4" x14ac:dyDescent="0.3">
      <c r="A2511" s="502" t="s">
        <v>4003</v>
      </c>
      <c r="B2511" s="503" t="s">
        <v>4004</v>
      </c>
      <c r="C2511" s="514">
        <v>0</v>
      </c>
      <c r="D2511" s="514">
        <v>0</v>
      </c>
      <c r="E2511" s="514">
        <v>0</v>
      </c>
      <c r="F2511" s="514">
        <v>0</v>
      </c>
      <c r="G2511" s="514">
        <v>0</v>
      </c>
      <c r="H2511" s="514">
        <v>0</v>
      </c>
      <c r="I2511" s="514">
        <v>0</v>
      </c>
      <c r="J2511" s="514">
        <v>0</v>
      </c>
      <c r="K2511" s="514">
        <v>0</v>
      </c>
      <c r="L2511" s="514">
        <v>0</v>
      </c>
      <c r="M2511" s="514">
        <v>0</v>
      </c>
      <c r="N2511" s="514">
        <v>0</v>
      </c>
      <c r="O2511" s="499"/>
      <c r="P2511" s="499"/>
      <c r="Q2511" s="499"/>
    </row>
    <row r="2512" spans="1:17" ht="14.4" x14ac:dyDescent="0.3">
      <c r="A2512" s="502" t="s">
        <v>4005</v>
      </c>
      <c r="B2512" s="503" t="s">
        <v>4006</v>
      </c>
      <c r="C2512" s="514">
        <v>0</v>
      </c>
      <c r="D2512" s="514">
        <v>0</v>
      </c>
      <c r="E2512" s="514">
        <v>0</v>
      </c>
      <c r="F2512" s="514">
        <v>0</v>
      </c>
      <c r="G2512" s="514">
        <v>0</v>
      </c>
      <c r="H2512" s="514">
        <v>0</v>
      </c>
      <c r="I2512" s="514">
        <v>0</v>
      </c>
      <c r="J2512" s="514">
        <v>0</v>
      </c>
      <c r="K2512" s="514">
        <v>0</v>
      </c>
      <c r="L2512" s="514">
        <v>0</v>
      </c>
      <c r="M2512" s="514">
        <v>0</v>
      </c>
      <c r="N2512" s="514">
        <v>0</v>
      </c>
      <c r="O2512" s="499"/>
      <c r="P2512" s="499"/>
      <c r="Q2512" s="499"/>
    </row>
    <row r="2513" spans="1:17" ht="14.4" x14ac:dyDescent="0.3">
      <c r="A2513" s="502" t="s">
        <v>4007</v>
      </c>
      <c r="B2513" s="503" t="s">
        <v>705</v>
      </c>
      <c r="C2513" s="514">
        <v>51851076</v>
      </c>
      <c r="D2513" s="514">
        <v>45887724</v>
      </c>
      <c r="E2513" s="514">
        <v>46938187</v>
      </c>
      <c r="F2513" s="514">
        <v>47795285</v>
      </c>
      <c r="G2513" s="514">
        <v>55389377</v>
      </c>
      <c r="H2513" s="514">
        <v>61695569</v>
      </c>
      <c r="I2513" s="514">
        <v>66201281</v>
      </c>
      <c r="J2513" s="514">
        <v>68559020</v>
      </c>
      <c r="K2513" s="514">
        <v>62981722</v>
      </c>
      <c r="L2513" s="514">
        <v>59338517</v>
      </c>
      <c r="M2513" s="514">
        <v>50511699</v>
      </c>
      <c r="N2513" s="514">
        <v>52669665</v>
      </c>
      <c r="O2513" s="499"/>
      <c r="P2513" s="499"/>
      <c r="Q2513" s="499"/>
    </row>
    <row r="2514" spans="1:17" ht="14.4" x14ac:dyDescent="0.3">
      <c r="A2514" s="502" t="s">
        <v>4008</v>
      </c>
      <c r="B2514" s="503" t="s">
        <v>707</v>
      </c>
      <c r="C2514" s="514">
        <v>193325.33</v>
      </c>
      <c r="D2514" s="514">
        <v>192326.33</v>
      </c>
      <c r="E2514" s="514">
        <v>191367.33</v>
      </c>
      <c r="F2514" s="514">
        <v>0</v>
      </c>
      <c r="G2514" s="514">
        <v>190444.33</v>
      </c>
      <c r="H2514" s="514">
        <v>189558.33</v>
      </c>
      <c r="I2514" s="514">
        <v>188707.33</v>
      </c>
      <c r="J2514" s="514">
        <v>187887.33</v>
      </c>
      <c r="K2514" s="514">
        <v>187093.33</v>
      </c>
      <c r="L2514" s="514">
        <v>186322.33</v>
      </c>
      <c r="M2514" s="514">
        <v>185560.33</v>
      </c>
      <c r="N2514" s="514">
        <v>184802.33</v>
      </c>
      <c r="O2514" s="499"/>
      <c r="P2514" s="499"/>
      <c r="Q2514" s="499"/>
    </row>
    <row r="2515" spans="1:17" ht="14.4" x14ac:dyDescent="0.3">
      <c r="A2515" s="502" t="s">
        <v>4009</v>
      </c>
      <c r="B2515" s="503" t="s">
        <v>4010</v>
      </c>
      <c r="C2515" s="514">
        <v>0</v>
      </c>
      <c r="D2515" s="514">
        <v>0</v>
      </c>
      <c r="E2515" s="514">
        <v>0</v>
      </c>
      <c r="F2515" s="514">
        <v>0</v>
      </c>
      <c r="G2515" s="514">
        <v>0</v>
      </c>
      <c r="H2515" s="514">
        <v>0</v>
      </c>
      <c r="I2515" s="514">
        <v>0</v>
      </c>
      <c r="J2515" s="514">
        <v>0</v>
      </c>
      <c r="K2515" s="514">
        <v>0</v>
      </c>
      <c r="L2515" s="514">
        <v>0</v>
      </c>
      <c r="M2515" s="514">
        <v>0</v>
      </c>
      <c r="N2515" s="514">
        <v>0</v>
      </c>
      <c r="O2515" s="499"/>
      <c r="P2515" s="499"/>
      <c r="Q2515" s="499"/>
    </row>
    <row r="2516" spans="1:17" ht="14.4" x14ac:dyDescent="0.3">
      <c r="A2516" s="502" t="s">
        <v>4011</v>
      </c>
      <c r="B2516" s="503" t="s">
        <v>4012</v>
      </c>
      <c r="C2516" s="514">
        <v>5</v>
      </c>
      <c r="D2516" s="514">
        <v>0</v>
      </c>
      <c r="E2516" s="514">
        <v>0</v>
      </c>
      <c r="F2516" s="514">
        <v>5</v>
      </c>
      <c r="G2516" s="514">
        <v>0</v>
      </c>
      <c r="H2516" s="514">
        <v>0</v>
      </c>
      <c r="I2516" s="514">
        <v>5</v>
      </c>
      <c r="J2516" s="514">
        <v>0</v>
      </c>
      <c r="K2516" s="514">
        <v>0</v>
      </c>
      <c r="L2516" s="514">
        <v>5</v>
      </c>
      <c r="M2516" s="514">
        <v>0</v>
      </c>
      <c r="N2516" s="514">
        <v>0</v>
      </c>
      <c r="O2516" s="499"/>
      <c r="P2516" s="499"/>
      <c r="Q2516" s="499"/>
    </row>
    <row r="2517" spans="1:17" ht="14.4" x14ac:dyDescent="0.3">
      <c r="A2517" s="502" t="s">
        <v>4013</v>
      </c>
      <c r="B2517" s="503" t="s">
        <v>4014</v>
      </c>
      <c r="C2517" s="514">
        <v>0</v>
      </c>
      <c r="D2517" s="514">
        <v>0</v>
      </c>
      <c r="E2517" s="514">
        <v>0</v>
      </c>
      <c r="F2517" s="514">
        <v>0</v>
      </c>
      <c r="G2517" s="514">
        <v>0</v>
      </c>
      <c r="H2517" s="514">
        <v>0</v>
      </c>
      <c r="I2517" s="514">
        <v>0</v>
      </c>
      <c r="J2517" s="514">
        <v>0</v>
      </c>
      <c r="K2517" s="514">
        <v>0</v>
      </c>
      <c r="L2517" s="514">
        <v>0</v>
      </c>
      <c r="M2517" s="514">
        <v>0</v>
      </c>
      <c r="N2517" s="514">
        <v>0</v>
      </c>
      <c r="O2517" s="499"/>
      <c r="P2517" s="499"/>
      <c r="Q2517" s="499"/>
    </row>
    <row r="2518" spans="1:17" ht="14.4" x14ac:dyDescent="0.3">
      <c r="A2518" s="502" t="s">
        <v>4015</v>
      </c>
      <c r="B2518" s="503" t="s">
        <v>4016</v>
      </c>
      <c r="C2518" s="514">
        <v>0</v>
      </c>
      <c r="D2518" s="514">
        <v>0</v>
      </c>
      <c r="E2518" s="514">
        <v>0</v>
      </c>
      <c r="F2518" s="514">
        <v>0</v>
      </c>
      <c r="G2518" s="514">
        <v>0</v>
      </c>
      <c r="H2518" s="514">
        <v>0</v>
      </c>
      <c r="I2518" s="514">
        <v>0</v>
      </c>
      <c r="J2518" s="514">
        <v>0</v>
      </c>
      <c r="K2518" s="514">
        <v>0</v>
      </c>
      <c r="L2518" s="514">
        <v>0</v>
      </c>
      <c r="M2518" s="514">
        <v>0</v>
      </c>
      <c r="N2518" s="514">
        <v>0</v>
      </c>
      <c r="O2518" s="499"/>
      <c r="P2518" s="499"/>
      <c r="Q2518" s="499"/>
    </row>
    <row r="2519" spans="1:17" ht="14.4" x14ac:dyDescent="0.3">
      <c r="A2519" s="502" t="s">
        <v>4017</v>
      </c>
      <c r="B2519" s="503" t="s">
        <v>4018</v>
      </c>
      <c r="C2519" s="514">
        <v>0</v>
      </c>
      <c r="D2519" s="514">
        <v>0</v>
      </c>
      <c r="E2519" s="514">
        <v>0</v>
      </c>
      <c r="F2519" s="514">
        <v>0</v>
      </c>
      <c r="G2519" s="514">
        <v>0</v>
      </c>
      <c r="H2519" s="514">
        <v>0</v>
      </c>
      <c r="I2519" s="514">
        <v>0</v>
      </c>
      <c r="J2519" s="514">
        <v>0</v>
      </c>
      <c r="K2519" s="514">
        <v>0</v>
      </c>
      <c r="L2519" s="514">
        <v>0</v>
      </c>
      <c r="M2519" s="514">
        <v>0</v>
      </c>
      <c r="N2519" s="514">
        <v>0</v>
      </c>
      <c r="O2519" s="499"/>
      <c r="P2519" s="499"/>
      <c r="Q2519" s="499"/>
    </row>
    <row r="2520" spans="1:17" ht="14.4" x14ac:dyDescent="0.3">
      <c r="A2520" s="502" t="s">
        <v>4019</v>
      </c>
      <c r="B2520" s="503" t="s">
        <v>4020</v>
      </c>
      <c r="C2520" s="514">
        <v>0</v>
      </c>
      <c r="D2520" s="514">
        <v>0</v>
      </c>
      <c r="E2520" s="514">
        <v>0</v>
      </c>
      <c r="F2520" s="514">
        <v>0</v>
      </c>
      <c r="G2520" s="514">
        <v>0</v>
      </c>
      <c r="H2520" s="514">
        <v>0</v>
      </c>
      <c r="I2520" s="514">
        <v>0</v>
      </c>
      <c r="J2520" s="514">
        <v>0</v>
      </c>
      <c r="K2520" s="514">
        <v>0</v>
      </c>
      <c r="L2520" s="514">
        <v>0</v>
      </c>
      <c r="M2520" s="514">
        <v>0</v>
      </c>
      <c r="N2520" s="514">
        <v>0</v>
      </c>
      <c r="O2520" s="499"/>
      <c r="P2520" s="499"/>
      <c r="Q2520" s="499"/>
    </row>
    <row r="2521" spans="1:17" ht="14.4" x14ac:dyDescent="0.3">
      <c r="A2521" s="502" t="s">
        <v>4021</v>
      </c>
      <c r="B2521" s="503" t="s">
        <v>714</v>
      </c>
      <c r="C2521" s="514">
        <v>0</v>
      </c>
      <c r="D2521" s="514">
        <v>0</v>
      </c>
      <c r="E2521" s="514">
        <v>0</v>
      </c>
      <c r="F2521" s="514">
        <v>0</v>
      </c>
      <c r="G2521" s="514">
        <v>0</v>
      </c>
      <c r="H2521" s="514">
        <v>0</v>
      </c>
      <c r="I2521" s="514">
        <v>0</v>
      </c>
      <c r="J2521" s="514">
        <v>0</v>
      </c>
      <c r="K2521" s="514">
        <v>0</v>
      </c>
      <c r="L2521" s="514">
        <v>0</v>
      </c>
      <c r="M2521" s="514">
        <v>0</v>
      </c>
      <c r="N2521" s="514">
        <v>0</v>
      </c>
      <c r="O2521" s="499"/>
      <c r="P2521" s="499"/>
      <c r="Q2521" s="499"/>
    </row>
    <row r="2522" spans="1:17" ht="14.4" x14ac:dyDescent="0.3">
      <c r="A2522" s="502" t="s">
        <v>4022</v>
      </c>
      <c r="B2522" s="503" t="s">
        <v>714</v>
      </c>
      <c r="C2522" s="514">
        <v>3864376.64</v>
      </c>
      <c r="D2522" s="514">
        <v>3983168.65</v>
      </c>
      <c r="E2522" s="514">
        <v>1989239.66</v>
      </c>
      <c r="F2522" s="514">
        <v>4272180.0999999996</v>
      </c>
      <c r="G2522" s="514">
        <v>622037.56999999995</v>
      </c>
      <c r="H2522" s="514">
        <v>267668.28000000003</v>
      </c>
      <c r="I2522" s="514">
        <v>63859.32</v>
      </c>
      <c r="J2522" s="514">
        <v>66494.350000000006</v>
      </c>
      <c r="K2522" s="514">
        <v>253418.23</v>
      </c>
      <c r="L2522" s="514">
        <v>970591.4</v>
      </c>
      <c r="M2522" s="514">
        <v>187476.06</v>
      </c>
      <c r="N2522" s="514">
        <v>242744.75</v>
      </c>
      <c r="O2522" s="499"/>
      <c r="P2522" s="499"/>
      <c r="Q2522" s="499"/>
    </row>
    <row r="2523" spans="1:17" ht="14.4" x14ac:dyDescent="0.3">
      <c r="A2523" s="502" t="s">
        <v>4023</v>
      </c>
      <c r="B2523" s="503" t="s">
        <v>4024</v>
      </c>
      <c r="C2523" s="514">
        <v>0</v>
      </c>
      <c r="D2523" s="514">
        <v>0</v>
      </c>
      <c r="E2523" s="514">
        <v>0</v>
      </c>
      <c r="F2523" s="514">
        <v>0</v>
      </c>
      <c r="G2523" s="514">
        <v>0</v>
      </c>
      <c r="H2523" s="514">
        <v>0</v>
      </c>
      <c r="I2523" s="514">
        <v>0</v>
      </c>
      <c r="J2523" s="514">
        <v>0</v>
      </c>
      <c r="K2523" s="514">
        <v>0</v>
      </c>
      <c r="L2523" s="514">
        <v>0</v>
      </c>
      <c r="M2523" s="514">
        <v>0</v>
      </c>
      <c r="N2523" s="514">
        <v>0</v>
      </c>
      <c r="O2523" s="499"/>
      <c r="P2523" s="499"/>
      <c r="Q2523" s="499"/>
    </row>
    <row r="2524" spans="1:17" ht="14.4" x14ac:dyDescent="0.3">
      <c r="A2524" s="502" t="s">
        <v>4025</v>
      </c>
      <c r="B2524" s="503" t="s">
        <v>4026</v>
      </c>
      <c r="C2524" s="514">
        <v>0</v>
      </c>
      <c r="D2524" s="514">
        <v>0</v>
      </c>
      <c r="E2524" s="514">
        <v>0</v>
      </c>
      <c r="F2524" s="514">
        <v>0</v>
      </c>
      <c r="G2524" s="514">
        <v>0</v>
      </c>
      <c r="H2524" s="514">
        <v>0</v>
      </c>
      <c r="I2524" s="514">
        <v>0</v>
      </c>
      <c r="J2524" s="514">
        <v>0</v>
      </c>
      <c r="K2524" s="514">
        <v>0</v>
      </c>
      <c r="L2524" s="514">
        <v>0</v>
      </c>
      <c r="M2524" s="514">
        <v>0</v>
      </c>
      <c r="N2524" s="514">
        <v>0</v>
      </c>
      <c r="O2524" s="499"/>
      <c r="P2524" s="499"/>
      <c r="Q2524" s="499"/>
    </row>
    <row r="2525" spans="1:17" ht="14.4" x14ac:dyDescent="0.3">
      <c r="A2525" s="502" t="s">
        <v>4027</v>
      </c>
      <c r="B2525" s="503" t="s">
        <v>4028</v>
      </c>
      <c r="C2525" s="514">
        <v>0</v>
      </c>
      <c r="D2525" s="514">
        <v>0</v>
      </c>
      <c r="E2525" s="514">
        <v>0</v>
      </c>
      <c r="F2525" s="514">
        <v>0</v>
      </c>
      <c r="G2525" s="514">
        <v>0</v>
      </c>
      <c r="H2525" s="514">
        <v>0</v>
      </c>
      <c r="I2525" s="514">
        <v>0</v>
      </c>
      <c r="J2525" s="514">
        <v>0</v>
      </c>
      <c r="K2525" s="514">
        <v>0</v>
      </c>
      <c r="L2525" s="514">
        <v>0</v>
      </c>
      <c r="M2525" s="514">
        <v>0</v>
      </c>
      <c r="N2525" s="514">
        <v>0</v>
      </c>
      <c r="O2525" s="499"/>
      <c r="P2525" s="499"/>
      <c r="Q2525" s="499"/>
    </row>
    <row r="2526" spans="1:17" ht="14.4" x14ac:dyDescent="0.3">
      <c r="A2526" s="502" t="s">
        <v>4029</v>
      </c>
      <c r="B2526" s="503" t="s">
        <v>4026</v>
      </c>
      <c r="C2526" s="514">
        <v>0</v>
      </c>
      <c r="D2526" s="514">
        <v>0</v>
      </c>
      <c r="E2526" s="514">
        <v>0</v>
      </c>
      <c r="F2526" s="514">
        <v>0</v>
      </c>
      <c r="G2526" s="514">
        <v>0</v>
      </c>
      <c r="H2526" s="514">
        <v>0</v>
      </c>
      <c r="I2526" s="514">
        <v>0</v>
      </c>
      <c r="J2526" s="514">
        <v>0</v>
      </c>
      <c r="K2526" s="514">
        <v>0</v>
      </c>
      <c r="L2526" s="514">
        <v>0</v>
      </c>
      <c r="M2526" s="514">
        <v>0</v>
      </c>
      <c r="N2526" s="514">
        <v>0</v>
      </c>
      <c r="O2526" s="499"/>
      <c r="P2526" s="499"/>
      <c r="Q2526" s="499"/>
    </row>
    <row r="2527" spans="1:17" ht="14.4" x14ac:dyDescent="0.3">
      <c r="A2527" s="502" t="s">
        <v>4030</v>
      </c>
      <c r="B2527" s="503" t="s">
        <v>4031</v>
      </c>
      <c r="C2527" s="514">
        <v>0</v>
      </c>
      <c r="D2527" s="514">
        <v>0</v>
      </c>
      <c r="E2527" s="514">
        <v>0</v>
      </c>
      <c r="F2527" s="514">
        <v>0</v>
      </c>
      <c r="G2527" s="514">
        <v>0</v>
      </c>
      <c r="H2527" s="514">
        <v>0</v>
      </c>
      <c r="I2527" s="514">
        <v>0</v>
      </c>
      <c r="J2527" s="514">
        <v>0</v>
      </c>
      <c r="K2527" s="514">
        <v>0</v>
      </c>
      <c r="L2527" s="514">
        <v>0</v>
      </c>
      <c r="M2527" s="514">
        <v>0</v>
      </c>
      <c r="N2527" s="514">
        <v>0</v>
      </c>
      <c r="O2527" s="499"/>
      <c r="P2527" s="499"/>
      <c r="Q2527" s="499"/>
    </row>
    <row r="2528" spans="1:17" ht="14.4" x14ac:dyDescent="0.3">
      <c r="A2528" s="502" t="s">
        <v>4032</v>
      </c>
      <c r="B2528" s="503" t="s">
        <v>4033</v>
      </c>
      <c r="C2528" s="514">
        <v>0</v>
      </c>
      <c r="D2528" s="514">
        <v>0</v>
      </c>
      <c r="E2528" s="514">
        <v>0</v>
      </c>
      <c r="F2528" s="514">
        <v>0</v>
      </c>
      <c r="G2528" s="514">
        <v>0</v>
      </c>
      <c r="H2528" s="514">
        <v>0</v>
      </c>
      <c r="I2528" s="514">
        <v>0</v>
      </c>
      <c r="J2528" s="514">
        <v>0</v>
      </c>
      <c r="K2528" s="514">
        <v>0</v>
      </c>
      <c r="L2528" s="514">
        <v>0</v>
      </c>
      <c r="M2528" s="514">
        <v>0</v>
      </c>
      <c r="N2528" s="514">
        <v>0</v>
      </c>
      <c r="O2528" s="499"/>
      <c r="P2528" s="499"/>
      <c r="Q2528" s="499"/>
    </row>
    <row r="2529" spans="1:17" ht="14.4" x14ac:dyDescent="0.3">
      <c r="A2529" s="502" t="s">
        <v>4034</v>
      </c>
      <c r="B2529" s="503" t="s">
        <v>4035</v>
      </c>
      <c r="C2529" s="514">
        <v>0</v>
      </c>
      <c r="D2529" s="514">
        <v>0</v>
      </c>
      <c r="E2529" s="514">
        <v>0</v>
      </c>
      <c r="F2529" s="514">
        <v>0</v>
      </c>
      <c r="G2529" s="514">
        <v>0</v>
      </c>
      <c r="H2529" s="514">
        <v>0</v>
      </c>
      <c r="I2529" s="514">
        <v>0</v>
      </c>
      <c r="J2529" s="514">
        <v>0</v>
      </c>
      <c r="K2529" s="514">
        <v>0</v>
      </c>
      <c r="L2529" s="514">
        <v>0</v>
      </c>
      <c r="M2529" s="514">
        <v>0</v>
      </c>
      <c r="N2529" s="514">
        <v>0</v>
      </c>
      <c r="O2529" s="499"/>
      <c r="P2529" s="499"/>
      <c r="Q2529" s="499"/>
    </row>
    <row r="2530" spans="1:17" ht="14.4" x14ac:dyDescent="0.3">
      <c r="A2530" s="502" t="s">
        <v>4036</v>
      </c>
      <c r="B2530" s="503" t="s">
        <v>4037</v>
      </c>
      <c r="C2530" s="514">
        <v>0</v>
      </c>
      <c r="D2530" s="514">
        <v>0</v>
      </c>
      <c r="E2530" s="514">
        <v>0</v>
      </c>
      <c r="F2530" s="514">
        <v>0</v>
      </c>
      <c r="G2530" s="514">
        <v>0</v>
      </c>
      <c r="H2530" s="514">
        <v>0</v>
      </c>
      <c r="I2530" s="514">
        <v>0</v>
      </c>
      <c r="J2530" s="514">
        <v>0</v>
      </c>
      <c r="K2530" s="514">
        <v>0</v>
      </c>
      <c r="L2530" s="514">
        <v>0</v>
      </c>
      <c r="M2530" s="514">
        <v>0</v>
      </c>
      <c r="N2530" s="514">
        <v>0</v>
      </c>
      <c r="O2530" s="499"/>
      <c r="P2530" s="499"/>
      <c r="Q2530" s="499"/>
    </row>
    <row r="2531" spans="1:17" ht="14.4" x14ac:dyDescent="0.3">
      <c r="A2531" s="502" t="s">
        <v>4038</v>
      </c>
      <c r="B2531" s="503" t="s">
        <v>4039</v>
      </c>
      <c r="C2531" s="514">
        <v>0</v>
      </c>
      <c r="D2531" s="514">
        <v>0</v>
      </c>
      <c r="E2531" s="514">
        <v>0</v>
      </c>
      <c r="F2531" s="514">
        <v>0</v>
      </c>
      <c r="G2531" s="514">
        <v>0</v>
      </c>
      <c r="H2531" s="514">
        <v>0</v>
      </c>
      <c r="I2531" s="514">
        <v>0</v>
      </c>
      <c r="J2531" s="514">
        <v>0</v>
      </c>
      <c r="K2531" s="514">
        <v>0</v>
      </c>
      <c r="L2531" s="514">
        <v>0</v>
      </c>
      <c r="M2531" s="514">
        <v>0</v>
      </c>
      <c r="N2531" s="514">
        <v>0</v>
      </c>
      <c r="O2531" s="499"/>
      <c r="P2531" s="499"/>
      <c r="Q2531" s="499"/>
    </row>
    <row r="2532" spans="1:17" ht="14.4" x14ac:dyDescent="0.3">
      <c r="A2532" s="502" t="s">
        <v>4040</v>
      </c>
      <c r="B2532" s="503" t="s">
        <v>4041</v>
      </c>
      <c r="C2532" s="514">
        <v>0</v>
      </c>
      <c r="D2532" s="514">
        <v>0</v>
      </c>
      <c r="E2532" s="514">
        <v>0</v>
      </c>
      <c r="F2532" s="514">
        <v>0</v>
      </c>
      <c r="G2532" s="514">
        <v>0</v>
      </c>
      <c r="H2532" s="514">
        <v>0</v>
      </c>
      <c r="I2532" s="514">
        <v>0</v>
      </c>
      <c r="J2532" s="514">
        <v>0</v>
      </c>
      <c r="K2532" s="514">
        <v>0</v>
      </c>
      <c r="L2532" s="514">
        <v>0</v>
      </c>
      <c r="M2532" s="514">
        <v>0</v>
      </c>
      <c r="N2532" s="514">
        <v>0</v>
      </c>
      <c r="O2532" s="499"/>
      <c r="P2532" s="499"/>
      <c r="Q2532" s="499"/>
    </row>
    <row r="2533" spans="1:17" ht="14.4" x14ac:dyDescent="0.3">
      <c r="A2533" s="502" t="s">
        <v>4042</v>
      </c>
      <c r="B2533" s="503" t="s">
        <v>972</v>
      </c>
      <c r="C2533" s="514">
        <v>864.24</v>
      </c>
      <c r="D2533" s="514">
        <v>929.08</v>
      </c>
      <c r="E2533" s="514">
        <v>864.24</v>
      </c>
      <c r="F2533" s="514">
        <v>864.24</v>
      </c>
      <c r="G2533" s="514">
        <v>864.24</v>
      </c>
      <c r="H2533" s="514">
        <v>1864.24</v>
      </c>
      <c r="I2533" s="514">
        <v>1929.08</v>
      </c>
      <c r="J2533" s="514">
        <v>1864.24</v>
      </c>
      <c r="K2533" s="514">
        <v>1864.24</v>
      </c>
      <c r="L2533" s="514">
        <v>1864.24</v>
      </c>
      <c r="M2533" s="514">
        <v>1864.24</v>
      </c>
      <c r="N2533" s="514">
        <v>1933.23</v>
      </c>
      <c r="O2533" s="499"/>
      <c r="P2533" s="499"/>
      <c r="Q2533" s="499"/>
    </row>
    <row r="2534" spans="1:17" ht="14.4" x14ac:dyDescent="0.3">
      <c r="A2534" s="502" t="s">
        <v>4043</v>
      </c>
      <c r="B2534" s="503" t="s">
        <v>976</v>
      </c>
      <c r="C2534" s="514">
        <v>20785.52</v>
      </c>
      <c r="D2534" s="514">
        <v>21654.06</v>
      </c>
      <c r="E2534" s="514">
        <v>28359.82</v>
      </c>
      <c r="F2534" s="514">
        <v>25343.35</v>
      </c>
      <c r="G2534" s="514">
        <v>21952.01</v>
      </c>
      <c r="H2534" s="514">
        <v>23968.53</v>
      </c>
      <c r="I2534" s="514">
        <v>28606.53</v>
      </c>
      <c r="J2534" s="514">
        <v>21815.53</v>
      </c>
      <c r="K2534" s="514">
        <v>22614.53</v>
      </c>
      <c r="L2534" s="514">
        <v>21359.82</v>
      </c>
      <c r="M2534" s="514">
        <v>26521.35</v>
      </c>
      <c r="N2534" s="514">
        <v>24889.35</v>
      </c>
      <c r="O2534" s="499"/>
      <c r="P2534" s="499"/>
      <c r="Q2534" s="499"/>
    </row>
    <row r="2535" spans="1:17" ht="14.4" x14ac:dyDescent="0.3">
      <c r="A2535" s="502" t="s">
        <v>4044</v>
      </c>
      <c r="B2535" s="503" t="s">
        <v>978</v>
      </c>
      <c r="C2535" s="514">
        <v>79870.759999999995</v>
      </c>
      <c r="D2535" s="514">
        <v>81399.62</v>
      </c>
      <c r="E2535" s="514">
        <v>84232.39</v>
      </c>
      <c r="F2535" s="514">
        <v>81545.91</v>
      </c>
      <c r="G2535" s="514">
        <v>83490.36</v>
      </c>
      <c r="H2535" s="514">
        <v>82005.42</v>
      </c>
      <c r="I2535" s="514">
        <v>81296.42</v>
      </c>
      <c r="J2535" s="514">
        <v>82869.42</v>
      </c>
      <c r="K2535" s="514">
        <v>81794.42</v>
      </c>
      <c r="L2535" s="514">
        <v>78938.41</v>
      </c>
      <c r="M2535" s="514">
        <v>85564.73</v>
      </c>
      <c r="N2535" s="514">
        <v>85534.73</v>
      </c>
      <c r="O2535" s="499"/>
      <c r="P2535" s="499"/>
      <c r="Q2535" s="499"/>
    </row>
    <row r="2536" spans="1:17" ht="14.4" x14ac:dyDescent="0.3">
      <c r="A2536" s="502" t="s">
        <v>4045</v>
      </c>
      <c r="B2536" s="503" t="s">
        <v>980</v>
      </c>
      <c r="C2536" s="514">
        <v>440342.45</v>
      </c>
      <c r="D2536" s="514">
        <v>410342.45</v>
      </c>
      <c r="E2536" s="514">
        <v>495842.45</v>
      </c>
      <c r="F2536" s="514">
        <v>441776.22</v>
      </c>
      <c r="G2536" s="514">
        <v>441776.22</v>
      </c>
      <c r="H2536" s="514">
        <v>441776.22</v>
      </c>
      <c r="I2536" s="514">
        <v>457493.11</v>
      </c>
      <c r="J2536" s="514">
        <v>457493.11</v>
      </c>
      <c r="K2536" s="514">
        <v>457493.11</v>
      </c>
      <c r="L2536" s="514">
        <v>473209.99</v>
      </c>
      <c r="M2536" s="514">
        <v>473209.99</v>
      </c>
      <c r="N2536" s="514">
        <v>466294.42</v>
      </c>
      <c r="O2536" s="499"/>
      <c r="P2536" s="499"/>
      <c r="Q2536" s="499"/>
    </row>
    <row r="2537" spans="1:17" ht="14.4" x14ac:dyDescent="0.3">
      <c r="A2537" s="502" t="s">
        <v>4046</v>
      </c>
      <c r="B2537" s="503" t="s">
        <v>982</v>
      </c>
      <c r="C2537" s="514">
        <v>41851.35</v>
      </c>
      <c r="D2537" s="514">
        <v>22112.5</v>
      </c>
      <c r="E2537" s="514">
        <v>22112.5</v>
      </c>
      <c r="F2537" s="514">
        <v>22377.360000000001</v>
      </c>
      <c r="G2537" s="514">
        <v>22377.360000000001</v>
      </c>
      <c r="H2537" s="514">
        <v>22377.360000000001</v>
      </c>
      <c r="I2537" s="514">
        <v>22509.79</v>
      </c>
      <c r="J2537" s="514">
        <v>22509.79</v>
      </c>
      <c r="K2537" s="514">
        <v>22509.79</v>
      </c>
      <c r="L2537" s="514">
        <v>22642.21</v>
      </c>
      <c r="M2537" s="514">
        <v>22642.21</v>
      </c>
      <c r="N2537" s="514">
        <v>23304.36</v>
      </c>
      <c r="O2537" s="499"/>
      <c r="P2537" s="499"/>
      <c r="Q2537" s="499"/>
    </row>
    <row r="2538" spans="1:17" ht="14.4" x14ac:dyDescent="0.3">
      <c r="A2538" s="502" t="s">
        <v>4047</v>
      </c>
      <c r="B2538" s="503" t="s">
        <v>984</v>
      </c>
      <c r="C2538" s="514">
        <v>2000</v>
      </c>
      <c r="D2538" s="514">
        <v>2000</v>
      </c>
      <c r="E2538" s="514">
        <v>2000</v>
      </c>
      <c r="F2538" s="514">
        <v>2000</v>
      </c>
      <c r="G2538" s="514">
        <v>2000</v>
      </c>
      <c r="H2538" s="514">
        <v>2000</v>
      </c>
      <c r="I2538" s="514">
        <v>2000</v>
      </c>
      <c r="J2538" s="514">
        <v>2000</v>
      </c>
      <c r="K2538" s="514">
        <v>2000</v>
      </c>
      <c r="L2538" s="514">
        <v>2000</v>
      </c>
      <c r="M2538" s="514">
        <v>2000</v>
      </c>
      <c r="N2538" s="514">
        <v>2000</v>
      </c>
      <c r="O2538" s="499"/>
      <c r="P2538" s="499"/>
      <c r="Q2538" s="499"/>
    </row>
    <row r="2539" spans="1:17" ht="14.4" x14ac:dyDescent="0.3">
      <c r="A2539" s="502" t="s">
        <v>4048</v>
      </c>
      <c r="B2539" s="503" t="s">
        <v>986</v>
      </c>
      <c r="C2539" s="514">
        <v>57932.72</v>
      </c>
      <c r="D2539" s="514">
        <v>52156.83</v>
      </c>
      <c r="E2539" s="514">
        <v>57932.72</v>
      </c>
      <c r="F2539" s="514">
        <v>61614.99</v>
      </c>
      <c r="G2539" s="514">
        <v>61614.99</v>
      </c>
      <c r="H2539" s="514">
        <v>61614.99</v>
      </c>
      <c r="I2539" s="514">
        <v>63456.12</v>
      </c>
      <c r="J2539" s="514">
        <v>63456.12</v>
      </c>
      <c r="K2539" s="514">
        <v>63456.12</v>
      </c>
      <c r="L2539" s="514">
        <v>65297.26</v>
      </c>
      <c r="M2539" s="514">
        <v>65297.26</v>
      </c>
      <c r="N2539" s="514">
        <v>74502.929999999993</v>
      </c>
      <c r="O2539" s="499"/>
      <c r="P2539" s="499"/>
      <c r="Q2539" s="499"/>
    </row>
    <row r="2540" spans="1:17" ht="14.4" x14ac:dyDescent="0.3">
      <c r="A2540" s="502" t="s">
        <v>4049</v>
      </c>
      <c r="B2540" s="503" t="s">
        <v>988</v>
      </c>
      <c r="C2540" s="514">
        <v>7482.6</v>
      </c>
      <c r="D2540" s="514">
        <v>7482.6</v>
      </c>
      <c r="E2540" s="514">
        <v>7490.49</v>
      </c>
      <c r="F2540" s="514">
        <v>7644.43</v>
      </c>
      <c r="G2540" s="514">
        <v>7936.55</v>
      </c>
      <c r="H2540" s="514">
        <v>7634.57</v>
      </c>
      <c r="I2540" s="514">
        <v>7709.57</v>
      </c>
      <c r="J2540" s="514">
        <v>7709.57</v>
      </c>
      <c r="K2540" s="514">
        <v>7709.57</v>
      </c>
      <c r="L2540" s="514">
        <v>7790.49</v>
      </c>
      <c r="M2540" s="514">
        <v>7794.43</v>
      </c>
      <c r="N2540" s="514">
        <v>8169.43</v>
      </c>
      <c r="O2540" s="499"/>
      <c r="P2540" s="499"/>
      <c r="Q2540" s="499"/>
    </row>
    <row r="2541" spans="1:17" ht="14.4" x14ac:dyDescent="0.3">
      <c r="A2541" s="502" t="s">
        <v>4050</v>
      </c>
      <c r="B2541" s="503" t="s">
        <v>990</v>
      </c>
      <c r="C2541" s="514">
        <v>42.7</v>
      </c>
      <c r="D2541" s="514">
        <v>17.7</v>
      </c>
      <c r="E2541" s="514">
        <v>188.7</v>
      </c>
      <c r="F2541" s="514">
        <v>20.23</v>
      </c>
      <c r="G2541" s="514">
        <v>20.23</v>
      </c>
      <c r="H2541" s="514">
        <v>38.229999999999997</v>
      </c>
      <c r="I2541" s="514">
        <v>21.49</v>
      </c>
      <c r="J2541" s="514">
        <v>34.49</v>
      </c>
      <c r="K2541" s="514">
        <v>50.49</v>
      </c>
      <c r="L2541" s="514">
        <v>22.76</v>
      </c>
      <c r="M2541" s="514">
        <v>22.76</v>
      </c>
      <c r="N2541" s="514">
        <v>29.08</v>
      </c>
      <c r="O2541" s="499"/>
      <c r="P2541" s="499"/>
      <c r="Q2541" s="499"/>
    </row>
    <row r="2542" spans="1:17" ht="14.4" x14ac:dyDescent="0.3">
      <c r="A2542" s="502" t="s">
        <v>4051</v>
      </c>
      <c r="B2542" s="503" t="s">
        <v>992</v>
      </c>
      <c r="C2542" s="514">
        <v>679051.42</v>
      </c>
      <c r="D2542" s="514">
        <v>640060.69999999995</v>
      </c>
      <c r="E2542" s="514">
        <v>1394372.17</v>
      </c>
      <c r="F2542" s="514">
        <v>1276690.3500000001</v>
      </c>
      <c r="G2542" s="514">
        <v>1279869.72</v>
      </c>
      <c r="H2542" s="514">
        <v>799539.19</v>
      </c>
      <c r="I2542" s="514">
        <v>646828.57999999996</v>
      </c>
      <c r="J2542" s="514">
        <v>663131.57999999996</v>
      </c>
      <c r="K2542" s="514">
        <v>899916.1</v>
      </c>
      <c r="L2542" s="514">
        <v>1475602.71</v>
      </c>
      <c r="M2542" s="514">
        <v>1456932.6</v>
      </c>
      <c r="N2542" s="514">
        <v>905125</v>
      </c>
      <c r="O2542" s="499"/>
      <c r="P2542" s="499"/>
      <c r="Q2542" s="499"/>
    </row>
    <row r="2543" spans="1:17" ht="14.4" x14ac:dyDescent="0.3">
      <c r="A2543" s="502" t="s">
        <v>4052</v>
      </c>
      <c r="B2543" s="503" t="s">
        <v>4053</v>
      </c>
      <c r="C2543" s="514">
        <v>3708</v>
      </c>
      <c r="D2543" s="514">
        <v>3708</v>
      </c>
      <c r="E2543" s="514">
        <v>3708</v>
      </c>
      <c r="F2543" s="514">
        <v>3708</v>
      </c>
      <c r="G2543" s="514">
        <v>3708</v>
      </c>
      <c r="H2543" s="514">
        <v>3708</v>
      </c>
      <c r="I2543" s="514">
        <v>3708</v>
      </c>
      <c r="J2543" s="514">
        <v>3708</v>
      </c>
      <c r="K2543" s="514">
        <v>3708</v>
      </c>
      <c r="L2543" s="514">
        <v>3708</v>
      </c>
      <c r="M2543" s="514">
        <v>3708</v>
      </c>
      <c r="N2543" s="514">
        <v>3708</v>
      </c>
      <c r="O2543" s="499"/>
      <c r="P2543" s="499"/>
      <c r="Q2543" s="499"/>
    </row>
    <row r="2544" spans="1:17" ht="14.4" x14ac:dyDescent="0.3">
      <c r="A2544" s="502" t="s">
        <v>4054</v>
      </c>
      <c r="B2544" s="503" t="s">
        <v>4055</v>
      </c>
      <c r="C2544" s="514">
        <v>18037.57</v>
      </c>
      <c r="D2544" s="514">
        <v>18037.57</v>
      </c>
      <c r="E2544" s="514">
        <v>18037.57</v>
      </c>
      <c r="F2544" s="514">
        <v>20614.36</v>
      </c>
      <c r="G2544" s="514">
        <v>20614.36</v>
      </c>
      <c r="H2544" s="514">
        <v>20614.36</v>
      </c>
      <c r="I2544" s="514">
        <v>21902.76</v>
      </c>
      <c r="J2544" s="514">
        <v>21902.76</v>
      </c>
      <c r="K2544" s="514">
        <v>21902.76</v>
      </c>
      <c r="L2544" s="514">
        <v>23191.16</v>
      </c>
      <c r="M2544" s="514">
        <v>23191.16</v>
      </c>
      <c r="N2544" s="514">
        <v>29633.14</v>
      </c>
      <c r="O2544" s="499"/>
      <c r="P2544" s="499"/>
      <c r="Q2544" s="499"/>
    </row>
    <row r="2545" spans="1:17" ht="14.4" x14ac:dyDescent="0.3">
      <c r="A2545" s="502" t="s">
        <v>4056</v>
      </c>
      <c r="B2545" s="503" t="s">
        <v>994</v>
      </c>
      <c r="C2545" s="514">
        <v>14371.04</v>
      </c>
      <c r="D2545" s="514">
        <v>13174.04</v>
      </c>
      <c r="E2545" s="514">
        <v>13063.04</v>
      </c>
      <c r="F2545" s="514">
        <v>13736.04</v>
      </c>
      <c r="G2545" s="514">
        <v>13933.04</v>
      </c>
      <c r="H2545" s="514">
        <v>12713.04</v>
      </c>
      <c r="I2545" s="514">
        <v>14099.04</v>
      </c>
      <c r="J2545" s="514">
        <v>14250.04</v>
      </c>
      <c r="K2545" s="514">
        <v>13971.04</v>
      </c>
      <c r="L2545" s="514">
        <v>14574.04</v>
      </c>
      <c r="M2545" s="514">
        <v>14681.04</v>
      </c>
      <c r="N2545" s="514">
        <v>16024.04</v>
      </c>
      <c r="O2545" s="499"/>
      <c r="P2545" s="499"/>
      <c r="Q2545" s="499"/>
    </row>
    <row r="2546" spans="1:17" ht="14.4" x14ac:dyDescent="0.3">
      <c r="A2546" s="502" t="s">
        <v>4057</v>
      </c>
      <c r="B2546" s="503" t="s">
        <v>4058</v>
      </c>
      <c r="C2546" s="514">
        <v>0</v>
      </c>
      <c r="D2546" s="514">
        <v>0</v>
      </c>
      <c r="E2546" s="514">
        <v>0</v>
      </c>
      <c r="F2546" s="514">
        <v>0</v>
      </c>
      <c r="G2546" s="514">
        <v>0</v>
      </c>
      <c r="H2546" s="514">
        <v>0</v>
      </c>
      <c r="I2546" s="514">
        <v>0</v>
      </c>
      <c r="J2546" s="514">
        <v>0</v>
      </c>
      <c r="K2546" s="514">
        <v>0</v>
      </c>
      <c r="L2546" s="514">
        <v>0</v>
      </c>
      <c r="M2546" s="514">
        <v>0</v>
      </c>
      <c r="N2546" s="514">
        <v>0</v>
      </c>
      <c r="O2546" s="499"/>
      <c r="P2546" s="499"/>
      <c r="Q2546" s="499"/>
    </row>
    <row r="2547" spans="1:17" ht="14.4" x14ac:dyDescent="0.3">
      <c r="A2547" s="502" t="s">
        <v>4059</v>
      </c>
      <c r="B2547" s="503" t="s">
        <v>4060</v>
      </c>
      <c r="C2547" s="514">
        <v>0</v>
      </c>
      <c r="D2547" s="514">
        <v>0</v>
      </c>
      <c r="E2547" s="514">
        <v>0</v>
      </c>
      <c r="F2547" s="514">
        <v>0</v>
      </c>
      <c r="G2547" s="514">
        <v>0</v>
      </c>
      <c r="H2547" s="514">
        <v>0</v>
      </c>
      <c r="I2547" s="514">
        <v>0</v>
      </c>
      <c r="J2547" s="514">
        <v>0</v>
      </c>
      <c r="K2547" s="514">
        <v>0</v>
      </c>
      <c r="L2547" s="514">
        <v>0</v>
      </c>
      <c r="M2547" s="514">
        <v>0</v>
      </c>
      <c r="N2547" s="514">
        <v>0</v>
      </c>
      <c r="O2547" s="499"/>
      <c r="P2547" s="499"/>
      <c r="Q2547" s="499"/>
    </row>
    <row r="2548" spans="1:17" ht="14.4" x14ac:dyDescent="0.3">
      <c r="A2548" s="502" t="s">
        <v>4061</v>
      </c>
      <c r="B2548" s="503" t="s">
        <v>996</v>
      </c>
      <c r="C2548" s="514">
        <v>43136</v>
      </c>
      <c r="D2548" s="514">
        <v>47786</v>
      </c>
      <c r="E2548" s="514">
        <v>45486</v>
      </c>
      <c r="F2548" s="514">
        <v>14336</v>
      </c>
      <c r="G2548" s="514">
        <v>47686</v>
      </c>
      <c r="H2548" s="514">
        <v>35086</v>
      </c>
      <c r="I2548" s="514">
        <v>47136</v>
      </c>
      <c r="J2548" s="514">
        <v>14786</v>
      </c>
      <c r="K2548" s="514">
        <v>45486</v>
      </c>
      <c r="L2548" s="514">
        <v>47336</v>
      </c>
      <c r="M2548" s="514">
        <v>40686</v>
      </c>
      <c r="N2548" s="514">
        <v>14186</v>
      </c>
      <c r="O2548" s="499"/>
      <c r="P2548" s="499"/>
      <c r="Q2548" s="499"/>
    </row>
    <row r="2549" spans="1:17" ht="14.4" x14ac:dyDescent="0.3">
      <c r="A2549" s="502" t="s">
        <v>4062</v>
      </c>
      <c r="B2549" s="503" t="s">
        <v>974</v>
      </c>
      <c r="C2549" s="514">
        <v>261048.34</v>
      </c>
      <c r="D2549" s="514">
        <v>262861.34000000003</v>
      </c>
      <c r="E2549" s="514">
        <v>477176.78</v>
      </c>
      <c r="F2549" s="514">
        <v>437422.08000000002</v>
      </c>
      <c r="G2549" s="514">
        <v>412393.49</v>
      </c>
      <c r="H2549" s="514">
        <v>278329.44</v>
      </c>
      <c r="I2549" s="514">
        <v>286282.39</v>
      </c>
      <c r="J2549" s="514">
        <v>291167.39</v>
      </c>
      <c r="K2549" s="514">
        <v>314685.39</v>
      </c>
      <c r="L2549" s="514">
        <v>325575.92</v>
      </c>
      <c r="M2549" s="514">
        <v>321880.31</v>
      </c>
      <c r="N2549" s="514">
        <v>361611.07</v>
      </c>
      <c r="O2549" s="499"/>
      <c r="P2549" s="499"/>
      <c r="Q2549" s="499"/>
    </row>
    <row r="2550" spans="1:17" ht="14.4" x14ac:dyDescent="0.3">
      <c r="A2550" s="502" t="s">
        <v>4063</v>
      </c>
      <c r="B2550" s="503" t="s">
        <v>998</v>
      </c>
      <c r="C2550" s="514">
        <v>0</v>
      </c>
      <c r="D2550" s="514">
        <v>0</v>
      </c>
      <c r="E2550" s="514">
        <v>0</v>
      </c>
      <c r="F2550" s="514">
        <v>0</v>
      </c>
      <c r="G2550" s="514">
        <v>0</v>
      </c>
      <c r="H2550" s="514">
        <v>0</v>
      </c>
      <c r="I2550" s="514">
        <v>0</v>
      </c>
      <c r="J2550" s="514">
        <v>0</v>
      </c>
      <c r="K2550" s="514">
        <v>0</v>
      </c>
      <c r="L2550" s="514">
        <v>0</v>
      </c>
      <c r="M2550" s="514">
        <v>0</v>
      </c>
      <c r="N2550" s="514">
        <v>0</v>
      </c>
      <c r="O2550" s="499"/>
      <c r="P2550" s="499"/>
      <c r="Q2550" s="499"/>
    </row>
    <row r="2551" spans="1:17" ht="14.4" x14ac:dyDescent="0.3">
      <c r="A2551" s="502" t="s">
        <v>4064</v>
      </c>
      <c r="B2551" s="503" t="s">
        <v>4065</v>
      </c>
      <c r="C2551" s="514">
        <v>0</v>
      </c>
      <c r="D2551" s="514">
        <v>0</v>
      </c>
      <c r="E2551" s="514">
        <v>0</v>
      </c>
      <c r="F2551" s="514">
        <v>0</v>
      </c>
      <c r="G2551" s="514">
        <v>0</v>
      </c>
      <c r="H2551" s="514">
        <v>0</v>
      </c>
      <c r="I2551" s="514">
        <v>0</v>
      </c>
      <c r="J2551" s="514">
        <v>0</v>
      </c>
      <c r="K2551" s="514">
        <v>0</v>
      </c>
      <c r="L2551" s="514">
        <v>0</v>
      </c>
      <c r="M2551" s="514">
        <v>0</v>
      </c>
      <c r="N2551" s="514">
        <v>0</v>
      </c>
      <c r="O2551" s="499"/>
      <c r="P2551" s="499"/>
      <c r="Q2551" s="499"/>
    </row>
    <row r="2552" spans="1:17" ht="14.4" x14ac:dyDescent="0.3">
      <c r="A2552" s="502" t="s">
        <v>4066</v>
      </c>
      <c r="B2552" s="503" t="s">
        <v>4067</v>
      </c>
      <c r="C2552" s="514">
        <v>0</v>
      </c>
      <c r="D2552" s="514">
        <v>0</v>
      </c>
      <c r="E2552" s="514">
        <v>0</v>
      </c>
      <c r="F2552" s="514">
        <v>0</v>
      </c>
      <c r="G2552" s="514">
        <v>0</v>
      </c>
      <c r="H2552" s="514">
        <v>0</v>
      </c>
      <c r="I2552" s="514">
        <v>0</v>
      </c>
      <c r="J2552" s="514">
        <v>0</v>
      </c>
      <c r="K2552" s="514">
        <v>0</v>
      </c>
      <c r="L2552" s="514">
        <v>0</v>
      </c>
      <c r="M2552" s="514">
        <v>0</v>
      </c>
      <c r="N2552" s="514">
        <v>0</v>
      </c>
      <c r="O2552" s="499"/>
      <c r="P2552" s="499"/>
      <c r="Q2552" s="499"/>
    </row>
    <row r="2553" spans="1:17" ht="14.4" x14ac:dyDescent="0.3">
      <c r="A2553" s="502" t="s">
        <v>4068</v>
      </c>
      <c r="B2553" s="503" t="s">
        <v>1000</v>
      </c>
      <c r="C2553" s="514">
        <v>59166.67</v>
      </c>
      <c r="D2553" s="514">
        <v>59166.67</v>
      </c>
      <c r="E2553" s="514">
        <v>59166.67</v>
      </c>
      <c r="F2553" s="514">
        <v>59166.67</v>
      </c>
      <c r="G2553" s="514">
        <v>39166.67</v>
      </c>
      <c r="H2553" s="514">
        <v>833.33</v>
      </c>
      <c r="I2553" s="514">
        <v>833.33</v>
      </c>
      <c r="J2553" s="514">
        <v>833.33</v>
      </c>
      <c r="K2553" s="514">
        <v>833.33</v>
      </c>
      <c r="L2553" s="514">
        <v>833.33</v>
      </c>
      <c r="M2553" s="514">
        <v>833.33</v>
      </c>
      <c r="N2553" s="514">
        <v>833.33</v>
      </c>
      <c r="O2553" s="499"/>
      <c r="P2553" s="499"/>
      <c r="Q2553" s="499"/>
    </row>
    <row r="2554" spans="1:17" ht="14.4" x14ac:dyDescent="0.3">
      <c r="A2554" s="502" t="s">
        <v>4069</v>
      </c>
      <c r="B2554" s="503" t="s">
        <v>4070</v>
      </c>
      <c r="C2554" s="514">
        <v>0</v>
      </c>
      <c r="D2554" s="514">
        <v>0</v>
      </c>
      <c r="E2554" s="514">
        <v>0</v>
      </c>
      <c r="F2554" s="514">
        <v>0</v>
      </c>
      <c r="G2554" s="514">
        <v>0</v>
      </c>
      <c r="H2554" s="514">
        <v>0</v>
      </c>
      <c r="I2554" s="514">
        <v>0</v>
      </c>
      <c r="J2554" s="514">
        <v>0</v>
      </c>
      <c r="K2554" s="514">
        <v>0</v>
      </c>
      <c r="L2554" s="514">
        <v>0</v>
      </c>
      <c r="M2554" s="514">
        <v>0</v>
      </c>
      <c r="N2554" s="514">
        <v>0</v>
      </c>
      <c r="O2554" s="499"/>
      <c r="P2554" s="499"/>
      <c r="Q2554" s="499"/>
    </row>
    <row r="2555" spans="1:17" ht="14.4" x14ac:dyDescent="0.3">
      <c r="A2555" s="502" t="s">
        <v>4071</v>
      </c>
      <c r="B2555" s="503" t="s">
        <v>1208</v>
      </c>
      <c r="C2555" s="514">
        <v>0</v>
      </c>
      <c r="D2555" s="514">
        <v>0</v>
      </c>
      <c r="E2555" s="514">
        <v>0</v>
      </c>
      <c r="F2555" s="514">
        <v>0</v>
      </c>
      <c r="G2555" s="514">
        <v>0</v>
      </c>
      <c r="H2555" s="514">
        <v>0</v>
      </c>
      <c r="I2555" s="514">
        <v>0</v>
      </c>
      <c r="J2555" s="514">
        <v>0</v>
      </c>
      <c r="K2555" s="514">
        <v>0</v>
      </c>
      <c r="L2555" s="514">
        <v>0</v>
      </c>
      <c r="M2555" s="514">
        <v>0</v>
      </c>
      <c r="N2555" s="514">
        <v>0</v>
      </c>
      <c r="O2555" s="499"/>
      <c r="P2555" s="499"/>
      <c r="Q2555" s="499"/>
    </row>
    <row r="2556" spans="1:17" ht="14.4" x14ac:dyDescent="0.3">
      <c r="A2556" s="502" t="s">
        <v>4072</v>
      </c>
      <c r="B2556" s="503" t="s">
        <v>1210</v>
      </c>
      <c r="C2556" s="514">
        <v>1755007.4</v>
      </c>
      <c r="D2556" s="514">
        <v>1754539.4</v>
      </c>
      <c r="E2556" s="514">
        <v>1765275.39</v>
      </c>
      <c r="F2556" s="514">
        <v>1765247</v>
      </c>
      <c r="G2556" s="514">
        <v>1765609.1</v>
      </c>
      <c r="H2556" s="514">
        <v>1790650.38</v>
      </c>
      <c r="I2556" s="514">
        <v>1856693.64</v>
      </c>
      <c r="J2556" s="514">
        <v>1825273.93</v>
      </c>
      <c r="K2556" s="514">
        <v>1825428.93</v>
      </c>
      <c r="L2556" s="514">
        <v>1826084.41</v>
      </c>
      <c r="M2556" s="514">
        <v>1826166.41</v>
      </c>
      <c r="N2556" s="514">
        <v>1852406.01</v>
      </c>
      <c r="O2556" s="499"/>
      <c r="P2556" s="499"/>
      <c r="Q2556" s="499"/>
    </row>
    <row r="2557" spans="1:17" ht="14.4" x14ac:dyDescent="0.3">
      <c r="A2557" s="502" t="s">
        <v>4073</v>
      </c>
      <c r="B2557" s="503" t="s">
        <v>1212</v>
      </c>
      <c r="C2557" s="514">
        <v>0</v>
      </c>
      <c r="D2557" s="514">
        <v>0</v>
      </c>
      <c r="E2557" s="514">
        <v>0</v>
      </c>
      <c r="F2557" s="514">
        <v>0</v>
      </c>
      <c r="G2557" s="514">
        <v>0</v>
      </c>
      <c r="H2557" s="514">
        <v>0</v>
      </c>
      <c r="I2557" s="514">
        <v>0</v>
      </c>
      <c r="J2557" s="514">
        <v>0</v>
      </c>
      <c r="K2557" s="514">
        <v>0</v>
      </c>
      <c r="L2557" s="514">
        <v>0</v>
      </c>
      <c r="M2557" s="514">
        <v>0</v>
      </c>
      <c r="N2557" s="514">
        <v>0</v>
      </c>
      <c r="O2557" s="499"/>
      <c r="P2557" s="499"/>
      <c r="Q2557" s="499"/>
    </row>
    <row r="2558" spans="1:17" ht="14.4" x14ac:dyDescent="0.3">
      <c r="A2558" s="502" t="s">
        <v>4074</v>
      </c>
      <c r="B2558" s="503" t="s">
        <v>4075</v>
      </c>
      <c r="C2558" s="514">
        <v>0</v>
      </c>
      <c r="D2558" s="514">
        <v>0</v>
      </c>
      <c r="E2558" s="514">
        <v>0</v>
      </c>
      <c r="F2558" s="514">
        <v>0</v>
      </c>
      <c r="G2558" s="514">
        <v>0</v>
      </c>
      <c r="H2558" s="514">
        <v>0</v>
      </c>
      <c r="I2558" s="514">
        <v>0</v>
      </c>
      <c r="J2558" s="514">
        <v>0</v>
      </c>
      <c r="K2558" s="514">
        <v>0</v>
      </c>
      <c r="L2558" s="514">
        <v>0</v>
      </c>
      <c r="M2558" s="514">
        <v>0</v>
      </c>
      <c r="N2558" s="514">
        <v>0</v>
      </c>
      <c r="O2558" s="499"/>
      <c r="P2558" s="499"/>
      <c r="Q2558" s="499"/>
    </row>
    <row r="2559" spans="1:17" ht="14.4" x14ac:dyDescent="0.3">
      <c r="A2559" s="502" t="s">
        <v>4076</v>
      </c>
      <c r="B2559" s="503" t="s">
        <v>4077</v>
      </c>
      <c r="C2559" s="514">
        <v>0</v>
      </c>
      <c r="D2559" s="514">
        <v>0</v>
      </c>
      <c r="E2559" s="514">
        <v>0</v>
      </c>
      <c r="F2559" s="514">
        <v>0</v>
      </c>
      <c r="G2559" s="514">
        <v>0</v>
      </c>
      <c r="H2559" s="514">
        <v>0</v>
      </c>
      <c r="I2559" s="514">
        <v>0</v>
      </c>
      <c r="J2559" s="514">
        <v>0</v>
      </c>
      <c r="K2559" s="514">
        <v>0</v>
      </c>
      <c r="L2559" s="514">
        <v>0</v>
      </c>
      <c r="M2559" s="514">
        <v>0</v>
      </c>
      <c r="N2559" s="514">
        <v>0</v>
      </c>
      <c r="O2559" s="499"/>
      <c r="P2559" s="499"/>
      <c r="Q2559" s="499"/>
    </row>
    <row r="2560" spans="1:17" ht="14.4" x14ac:dyDescent="0.3">
      <c r="A2560" s="502" t="s">
        <v>4078</v>
      </c>
      <c r="B2560" s="503" t="s">
        <v>4079</v>
      </c>
      <c r="C2560" s="514">
        <v>0</v>
      </c>
      <c r="D2560" s="514">
        <v>0</v>
      </c>
      <c r="E2560" s="514">
        <v>0</v>
      </c>
      <c r="F2560" s="514">
        <v>0</v>
      </c>
      <c r="G2560" s="514">
        <v>0</v>
      </c>
      <c r="H2560" s="514">
        <v>0</v>
      </c>
      <c r="I2560" s="514">
        <v>0</v>
      </c>
      <c r="J2560" s="514">
        <v>0</v>
      </c>
      <c r="K2560" s="514">
        <v>0</v>
      </c>
      <c r="L2560" s="514">
        <v>0</v>
      </c>
      <c r="M2560" s="514">
        <v>0</v>
      </c>
      <c r="N2560" s="514">
        <v>0</v>
      </c>
      <c r="O2560" s="499"/>
      <c r="P2560" s="499"/>
      <c r="Q2560" s="499"/>
    </row>
    <row r="2561" spans="1:17" ht="14.4" x14ac:dyDescent="0.3">
      <c r="A2561" s="502" t="s">
        <v>4080</v>
      </c>
      <c r="B2561" s="503" t="s">
        <v>4081</v>
      </c>
      <c r="C2561" s="514">
        <v>0</v>
      </c>
      <c r="D2561" s="514">
        <v>0</v>
      </c>
      <c r="E2561" s="514">
        <v>0</v>
      </c>
      <c r="F2561" s="514">
        <v>0</v>
      </c>
      <c r="G2561" s="514">
        <v>0</v>
      </c>
      <c r="H2561" s="514">
        <v>0</v>
      </c>
      <c r="I2561" s="514">
        <v>0</v>
      </c>
      <c r="J2561" s="514">
        <v>0</v>
      </c>
      <c r="K2561" s="514">
        <v>0</v>
      </c>
      <c r="L2561" s="514">
        <v>0</v>
      </c>
      <c r="M2561" s="514">
        <v>0</v>
      </c>
      <c r="N2561" s="514">
        <v>0</v>
      </c>
      <c r="O2561" s="499"/>
      <c r="P2561" s="499"/>
      <c r="Q2561" s="499"/>
    </row>
    <row r="2562" spans="1:17" ht="14.4" x14ac:dyDescent="0.3">
      <c r="A2562" s="502" t="s">
        <v>4082</v>
      </c>
      <c r="B2562" s="503" t="s">
        <v>4083</v>
      </c>
      <c r="C2562" s="514">
        <v>0</v>
      </c>
      <c r="D2562" s="514">
        <v>0</v>
      </c>
      <c r="E2562" s="514">
        <v>0</v>
      </c>
      <c r="F2562" s="514">
        <v>0</v>
      </c>
      <c r="G2562" s="514">
        <v>0</v>
      </c>
      <c r="H2562" s="514">
        <v>0</v>
      </c>
      <c r="I2562" s="514">
        <v>0</v>
      </c>
      <c r="J2562" s="514">
        <v>0</v>
      </c>
      <c r="K2562" s="514">
        <v>0</v>
      </c>
      <c r="L2562" s="514">
        <v>0</v>
      </c>
      <c r="M2562" s="514">
        <v>0</v>
      </c>
      <c r="N2562" s="514">
        <v>0</v>
      </c>
      <c r="O2562" s="499"/>
      <c r="P2562" s="499"/>
      <c r="Q2562" s="499"/>
    </row>
    <row r="2563" spans="1:17" ht="14.4" x14ac:dyDescent="0.3">
      <c r="A2563" s="502" t="s">
        <v>4084</v>
      </c>
      <c r="B2563" s="503" t="s">
        <v>1214</v>
      </c>
      <c r="C2563" s="514">
        <v>0</v>
      </c>
      <c r="D2563" s="514">
        <v>0</v>
      </c>
      <c r="E2563" s="514">
        <v>0</v>
      </c>
      <c r="F2563" s="514">
        <v>0</v>
      </c>
      <c r="G2563" s="514">
        <v>0</v>
      </c>
      <c r="H2563" s="514">
        <v>0</v>
      </c>
      <c r="I2563" s="514">
        <v>0</v>
      </c>
      <c r="J2563" s="514">
        <v>0</v>
      </c>
      <c r="K2563" s="514">
        <v>0</v>
      </c>
      <c r="L2563" s="514">
        <v>0</v>
      </c>
      <c r="M2563" s="514">
        <v>0</v>
      </c>
      <c r="N2563" s="514">
        <v>0</v>
      </c>
      <c r="O2563" s="499"/>
      <c r="P2563" s="499"/>
      <c r="Q2563" s="499"/>
    </row>
    <row r="2564" spans="1:17" ht="14.4" x14ac:dyDescent="0.3">
      <c r="A2564" s="502" t="s">
        <v>4085</v>
      </c>
      <c r="B2564" s="503" t="s">
        <v>4086</v>
      </c>
      <c r="C2564" s="514">
        <v>0</v>
      </c>
      <c r="D2564" s="514">
        <v>0</v>
      </c>
      <c r="E2564" s="514">
        <v>0</v>
      </c>
      <c r="F2564" s="514">
        <v>0</v>
      </c>
      <c r="G2564" s="514">
        <v>0</v>
      </c>
      <c r="H2564" s="514">
        <v>0</v>
      </c>
      <c r="I2564" s="514">
        <v>0</v>
      </c>
      <c r="J2564" s="514">
        <v>0</v>
      </c>
      <c r="K2564" s="514">
        <v>0</v>
      </c>
      <c r="L2564" s="514">
        <v>0</v>
      </c>
      <c r="M2564" s="514">
        <v>0</v>
      </c>
      <c r="N2564" s="514">
        <v>0</v>
      </c>
      <c r="O2564" s="499"/>
      <c r="P2564" s="499"/>
      <c r="Q2564" s="499"/>
    </row>
    <row r="2565" spans="1:17" ht="14.4" x14ac:dyDescent="0.3">
      <c r="A2565" s="502" t="s">
        <v>4087</v>
      </c>
      <c r="B2565" s="503" t="s">
        <v>4088</v>
      </c>
      <c r="C2565" s="514">
        <v>0</v>
      </c>
      <c r="D2565" s="514">
        <v>0</v>
      </c>
      <c r="E2565" s="514">
        <v>0</v>
      </c>
      <c r="F2565" s="514">
        <v>0</v>
      </c>
      <c r="G2565" s="514">
        <v>0</v>
      </c>
      <c r="H2565" s="514">
        <v>0</v>
      </c>
      <c r="I2565" s="514">
        <v>0</v>
      </c>
      <c r="J2565" s="514">
        <v>0</v>
      </c>
      <c r="K2565" s="514">
        <v>0</v>
      </c>
      <c r="L2565" s="514">
        <v>0</v>
      </c>
      <c r="M2565" s="514">
        <v>0</v>
      </c>
      <c r="N2565" s="514">
        <v>0</v>
      </c>
      <c r="O2565" s="499"/>
      <c r="P2565" s="499"/>
      <c r="Q2565" s="499"/>
    </row>
    <row r="2566" spans="1:17" ht="14.4" x14ac:dyDescent="0.3">
      <c r="A2566" s="502" t="s">
        <v>4089</v>
      </c>
      <c r="B2566" s="503" t="s">
        <v>1042</v>
      </c>
      <c r="C2566" s="514">
        <v>0</v>
      </c>
      <c r="D2566" s="514">
        <v>0</v>
      </c>
      <c r="E2566" s="514">
        <v>0</v>
      </c>
      <c r="F2566" s="514">
        <v>0</v>
      </c>
      <c r="G2566" s="514">
        <v>0</v>
      </c>
      <c r="H2566" s="514">
        <v>0</v>
      </c>
      <c r="I2566" s="514">
        <v>0</v>
      </c>
      <c r="J2566" s="514">
        <v>0</v>
      </c>
      <c r="K2566" s="514">
        <v>0</v>
      </c>
      <c r="L2566" s="514">
        <v>0</v>
      </c>
      <c r="M2566" s="514">
        <v>0</v>
      </c>
      <c r="N2566" s="514">
        <v>0</v>
      </c>
      <c r="O2566" s="499"/>
      <c r="P2566" s="499"/>
      <c r="Q2566" s="499"/>
    </row>
    <row r="2567" spans="1:17" ht="14.4" x14ac:dyDescent="0.3">
      <c r="A2567" s="502" t="s">
        <v>4090</v>
      </c>
      <c r="B2567" s="503" t="s">
        <v>4091</v>
      </c>
      <c r="C2567" s="514">
        <v>0</v>
      </c>
      <c r="D2567" s="514">
        <v>0</v>
      </c>
      <c r="E2567" s="514">
        <v>0</v>
      </c>
      <c r="F2567" s="514">
        <v>0</v>
      </c>
      <c r="G2567" s="514">
        <v>0</v>
      </c>
      <c r="H2567" s="514">
        <v>0</v>
      </c>
      <c r="I2567" s="514">
        <v>0</v>
      </c>
      <c r="J2567" s="514">
        <v>0</v>
      </c>
      <c r="K2567" s="514">
        <v>0</v>
      </c>
      <c r="L2567" s="514">
        <v>0</v>
      </c>
      <c r="M2567" s="514">
        <v>0</v>
      </c>
      <c r="N2567" s="514">
        <v>0</v>
      </c>
      <c r="O2567" s="499"/>
      <c r="P2567" s="499"/>
      <c r="Q2567" s="499"/>
    </row>
    <row r="2568" spans="1:17" ht="14.4" x14ac:dyDescent="0.3">
      <c r="A2568" s="502" t="s">
        <v>4092</v>
      </c>
      <c r="B2568" s="503" t="s">
        <v>4093</v>
      </c>
      <c r="C2568" s="514">
        <v>0</v>
      </c>
      <c r="D2568" s="514">
        <v>0</v>
      </c>
      <c r="E2568" s="514">
        <v>0</v>
      </c>
      <c r="F2568" s="514">
        <v>0</v>
      </c>
      <c r="G2568" s="514">
        <v>0</v>
      </c>
      <c r="H2568" s="514">
        <v>0</v>
      </c>
      <c r="I2568" s="514">
        <v>0</v>
      </c>
      <c r="J2568" s="514">
        <v>0</v>
      </c>
      <c r="K2568" s="514">
        <v>0</v>
      </c>
      <c r="L2568" s="514">
        <v>0</v>
      </c>
      <c r="M2568" s="514">
        <v>0</v>
      </c>
      <c r="N2568" s="514">
        <v>0</v>
      </c>
      <c r="O2568" s="499"/>
      <c r="P2568" s="499"/>
      <c r="Q2568" s="499"/>
    </row>
    <row r="2569" spans="1:17" ht="14.4" x14ac:dyDescent="0.3">
      <c r="A2569" s="502" t="s">
        <v>4094</v>
      </c>
      <c r="B2569" s="503" t="s">
        <v>1044</v>
      </c>
      <c r="C2569" s="514">
        <v>0</v>
      </c>
      <c r="D2569" s="514">
        <v>0</v>
      </c>
      <c r="E2569" s="514">
        <v>0</v>
      </c>
      <c r="F2569" s="514">
        <v>0</v>
      </c>
      <c r="G2569" s="514">
        <v>0</v>
      </c>
      <c r="H2569" s="514">
        <v>0</v>
      </c>
      <c r="I2569" s="514">
        <v>0</v>
      </c>
      <c r="J2569" s="514">
        <v>0</v>
      </c>
      <c r="K2569" s="514">
        <v>0</v>
      </c>
      <c r="L2569" s="514">
        <v>0</v>
      </c>
      <c r="M2569" s="514">
        <v>0</v>
      </c>
      <c r="N2569" s="514">
        <v>626921.64</v>
      </c>
      <c r="O2569" s="499"/>
      <c r="P2569" s="499"/>
      <c r="Q2569" s="499"/>
    </row>
    <row r="2570" spans="1:17" ht="14.4" x14ac:dyDescent="0.3">
      <c r="A2570" s="502" t="s">
        <v>4095</v>
      </c>
      <c r="B2570" s="503" t="s">
        <v>1046</v>
      </c>
      <c r="C2570" s="514">
        <v>3833.08</v>
      </c>
      <c r="D2570" s="514">
        <v>3833.03</v>
      </c>
      <c r="E2570" s="514">
        <v>3833.03</v>
      </c>
      <c r="F2570" s="514">
        <v>3833.03</v>
      </c>
      <c r="G2570" s="514">
        <v>3833.03</v>
      </c>
      <c r="H2570" s="514">
        <v>3833.03</v>
      </c>
      <c r="I2570" s="514">
        <v>3833.03</v>
      </c>
      <c r="J2570" s="514">
        <v>3833.03</v>
      </c>
      <c r="K2570" s="514">
        <v>3833.03</v>
      </c>
      <c r="L2570" s="514">
        <v>3833.03</v>
      </c>
      <c r="M2570" s="514">
        <v>3833.03</v>
      </c>
      <c r="N2570" s="514">
        <v>3833.03</v>
      </c>
      <c r="O2570" s="499"/>
      <c r="P2570" s="499"/>
      <c r="Q2570" s="499"/>
    </row>
    <row r="2571" spans="1:17" ht="14.4" x14ac:dyDescent="0.3">
      <c r="A2571" s="502" t="s">
        <v>4096</v>
      </c>
      <c r="B2571" s="503" t="s">
        <v>1048</v>
      </c>
      <c r="C2571" s="514">
        <v>25220.080000000002</v>
      </c>
      <c r="D2571" s="514">
        <v>25220.02</v>
      </c>
      <c r="E2571" s="514">
        <v>25220.02</v>
      </c>
      <c r="F2571" s="514">
        <v>25220.02</v>
      </c>
      <c r="G2571" s="514">
        <v>25220.02</v>
      </c>
      <c r="H2571" s="514">
        <v>25220.02</v>
      </c>
      <c r="I2571" s="514">
        <v>25220.02</v>
      </c>
      <c r="J2571" s="514">
        <v>25220.02</v>
      </c>
      <c r="K2571" s="514">
        <v>25220.02</v>
      </c>
      <c r="L2571" s="514">
        <v>25220.02</v>
      </c>
      <c r="M2571" s="514">
        <v>25220.02</v>
      </c>
      <c r="N2571" s="514">
        <v>25220.02</v>
      </c>
      <c r="O2571" s="499"/>
      <c r="P2571" s="499"/>
      <c r="Q2571" s="499"/>
    </row>
    <row r="2572" spans="1:17" ht="14.4" x14ac:dyDescent="0.3">
      <c r="A2572" s="502" t="s">
        <v>4097</v>
      </c>
      <c r="B2572" s="503" t="s">
        <v>1050</v>
      </c>
      <c r="C2572" s="514">
        <v>4770.1499999999996</v>
      </c>
      <c r="D2572" s="514">
        <v>4770.1499999999996</v>
      </c>
      <c r="E2572" s="514">
        <v>4770.1499999999996</v>
      </c>
      <c r="F2572" s="514">
        <v>4770.1499999999996</v>
      </c>
      <c r="G2572" s="514">
        <v>4770.1499999999996</v>
      </c>
      <c r="H2572" s="514">
        <v>5247.11</v>
      </c>
      <c r="I2572" s="514">
        <v>5247.17</v>
      </c>
      <c r="J2572" s="514">
        <v>5247.17</v>
      </c>
      <c r="K2572" s="514">
        <v>5247.17</v>
      </c>
      <c r="L2572" s="514">
        <v>5247.17</v>
      </c>
      <c r="M2572" s="514">
        <v>5247.17</v>
      </c>
      <c r="N2572" s="514">
        <v>5247.17</v>
      </c>
      <c r="O2572" s="499"/>
      <c r="P2572" s="499"/>
      <c r="Q2572" s="499"/>
    </row>
    <row r="2573" spans="1:17" ht="14.4" x14ac:dyDescent="0.3">
      <c r="A2573" s="502" t="s">
        <v>4098</v>
      </c>
      <c r="B2573" s="503" t="s">
        <v>1052</v>
      </c>
      <c r="C2573" s="514">
        <v>0</v>
      </c>
      <c r="D2573" s="514">
        <v>0</v>
      </c>
      <c r="E2573" s="514">
        <v>0</v>
      </c>
      <c r="F2573" s="514">
        <v>0</v>
      </c>
      <c r="G2573" s="514">
        <v>0</v>
      </c>
      <c r="H2573" s="514">
        <v>0</v>
      </c>
      <c r="I2573" s="514">
        <v>0</v>
      </c>
      <c r="J2573" s="514">
        <v>0</v>
      </c>
      <c r="K2573" s="514">
        <v>0</v>
      </c>
      <c r="L2573" s="514">
        <v>0</v>
      </c>
      <c r="M2573" s="514">
        <v>0</v>
      </c>
      <c r="N2573" s="514">
        <v>0</v>
      </c>
      <c r="O2573" s="499"/>
      <c r="P2573" s="499"/>
      <c r="Q2573" s="499"/>
    </row>
    <row r="2574" spans="1:17" ht="14.4" x14ac:dyDescent="0.3">
      <c r="A2574" s="502" t="s">
        <v>4099</v>
      </c>
      <c r="B2574" s="503" t="s">
        <v>1054</v>
      </c>
      <c r="C2574" s="514">
        <v>1284076.06</v>
      </c>
      <c r="D2574" s="514">
        <v>1284076.06</v>
      </c>
      <c r="E2574" s="514">
        <v>1284076.06</v>
      </c>
      <c r="F2574" s="514">
        <v>1284076.06</v>
      </c>
      <c r="G2574" s="514">
        <v>1284076.06</v>
      </c>
      <c r="H2574" s="514">
        <v>1497296.12</v>
      </c>
      <c r="I2574" s="514">
        <v>1497296.18</v>
      </c>
      <c r="J2574" s="514">
        <v>1497296.18</v>
      </c>
      <c r="K2574" s="514">
        <v>1497296.18</v>
      </c>
      <c r="L2574" s="514">
        <v>1497296.18</v>
      </c>
      <c r="M2574" s="514">
        <v>1497296.18</v>
      </c>
      <c r="N2574" s="514">
        <v>1497296.18</v>
      </c>
      <c r="O2574" s="499"/>
      <c r="P2574" s="499"/>
      <c r="Q2574" s="499"/>
    </row>
    <row r="2575" spans="1:17" ht="14.4" x14ac:dyDescent="0.3">
      <c r="A2575" s="502" t="s">
        <v>4100</v>
      </c>
      <c r="B2575" s="503" t="s">
        <v>1056</v>
      </c>
      <c r="C2575" s="514">
        <v>6202.28</v>
      </c>
      <c r="D2575" s="514">
        <v>6202.31</v>
      </c>
      <c r="E2575" s="514">
        <v>6202.31</v>
      </c>
      <c r="F2575" s="514">
        <v>6202.31</v>
      </c>
      <c r="G2575" s="514">
        <v>6202.31</v>
      </c>
      <c r="H2575" s="514">
        <v>6202.31</v>
      </c>
      <c r="I2575" s="514">
        <v>6202.31</v>
      </c>
      <c r="J2575" s="514">
        <v>6202.31</v>
      </c>
      <c r="K2575" s="514">
        <v>6202.31</v>
      </c>
      <c r="L2575" s="514">
        <v>6202.31</v>
      </c>
      <c r="M2575" s="514">
        <v>6202.31</v>
      </c>
      <c r="N2575" s="514">
        <v>6202.31</v>
      </c>
      <c r="O2575" s="499"/>
      <c r="P2575" s="499"/>
      <c r="Q2575" s="499"/>
    </row>
    <row r="2576" spans="1:17" ht="14.4" x14ac:dyDescent="0.3">
      <c r="A2576" s="502" t="s">
        <v>4101</v>
      </c>
      <c r="B2576" s="503" t="s">
        <v>1058</v>
      </c>
      <c r="C2576" s="514">
        <v>311566.99</v>
      </c>
      <c r="D2576" s="514">
        <v>311566.99</v>
      </c>
      <c r="E2576" s="514">
        <v>311566.99</v>
      </c>
      <c r="F2576" s="514">
        <v>311566.99</v>
      </c>
      <c r="G2576" s="514">
        <v>311566.99</v>
      </c>
      <c r="H2576" s="514">
        <v>311566.99</v>
      </c>
      <c r="I2576" s="514">
        <v>311566.99</v>
      </c>
      <c r="J2576" s="514">
        <v>311566.99</v>
      </c>
      <c r="K2576" s="514">
        <v>311566.99</v>
      </c>
      <c r="L2576" s="514">
        <v>311566.99</v>
      </c>
      <c r="M2576" s="514">
        <v>311566.99</v>
      </c>
      <c r="N2576" s="514">
        <v>311566.99</v>
      </c>
      <c r="O2576" s="499"/>
      <c r="P2576" s="499"/>
      <c r="Q2576" s="499"/>
    </row>
    <row r="2577" spans="1:17" ht="14.4" x14ac:dyDescent="0.3">
      <c r="A2577" s="502" t="s">
        <v>4102</v>
      </c>
      <c r="B2577" s="503" t="s">
        <v>1060</v>
      </c>
      <c r="C2577" s="514">
        <v>5939</v>
      </c>
      <c r="D2577" s="514">
        <v>5939</v>
      </c>
      <c r="E2577" s="514">
        <v>5939</v>
      </c>
      <c r="F2577" s="514">
        <v>5939</v>
      </c>
      <c r="G2577" s="514">
        <v>5939</v>
      </c>
      <c r="H2577" s="514">
        <v>5939</v>
      </c>
      <c r="I2577" s="514">
        <v>5939</v>
      </c>
      <c r="J2577" s="514">
        <v>5939</v>
      </c>
      <c r="K2577" s="514">
        <v>5939</v>
      </c>
      <c r="L2577" s="514">
        <v>5939</v>
      </c>
      <c r="M2577" s="514">
        <v>5939</v>
      </c>
      <c r="N2577" s="514">
        <v>5939</v>
      </c>
      <c r="O2577" s="499"/>
      <c r="P2577" s="499"/>
      <c r="Q2577" s="499"/>
    </row>
    <row r="2578" spans="1:17" ht="14.4" x14ac:dyDescent="0.3">
      <c r="A2578" s="502" t="s">
        <v>4103</v>
      </c>
      <c r="B2578" s="503" t="s">
        <v>4104</v>
      </c>
      <c r="C2578" s="514">
        <v>0</v>
      </c>
      <c r="D2578" s="514">
        <v>0</v>
      </c>
      <c r="E2578" s="514">
        <v>0</v>
      </c>
      <c r="F2578" s="514">
        <v>0</v>
      </c>
      <c r="G2578" s="514">
        <v>0</v>
      </c>
      <c r="H2578" s="514">
        <v>0</v>
      </c>
      <c r="I2578" s="514">
        <v>0</v>
      </c>
      <c r="J2578" s="514">
        <v>0</v>
      </c>
      <c r="K2578" s="514">
        <v>0</v>
      </c>
      <c r="L2578" s="514">
        <v>0</v>
      </c>
      <c r="M2578" s="514">
        <v>0</v>
      </c>
      <c r="N2578" s="514">
        <v>0</v>
      </c>
      <c r="O2578" s="499"/>
      <c r="P2578" s="499"/>
      <c r="Q2578" s="499"/>
    </row>
    <row r="2579" spans="1:17" ht="14.4" x14ac:dyDescent="0.3">
      <c r="A2579" s="502" t="s">
        <v>4105</v>
      </c>
      <c r="B2579" s="503" t="s">
        <v>4106</v>
      </c>
      <c r="C2579" s="514">
        <v>0</v>
      </c>
      <c r="D2579" s="514">
        <v>0</v>
      </c>
      <c r="E2579" s="514">
        <v>0</v>
      </c>
      <c r="F2579" s="514">
        <v>0</v>
      </c>
      <c r="G2579" s="514">
        <v>0</v>
      </c>
      <c r="H2579" s="514">
        <v>0</v>
      </c>
      <c r="I2579" s="514">
        <v>0</v>
      </c>
      <c r="J2579" s="514">
        <v>0</v>
      </c>
      <c r="K2579" s="514">
        <v>0</v>
      </c>
      <c r="L2579" s="514">
        <v>0</v>
      </c>
      <c r="M2579" s="514">
        <v>0</v>
      </c>
      <c r="N2579" s="514">
        <v>0</v>
      </c>
      <c r="O2579" s="499"/>
      <c r="P2579" s="499"/>
      <c r="Q2579" s="499"/>
    </row>
    <row r="2580" spans="1:17" ht="14.4" x14ac:dyDescent="0.3">
      <c r="A2580" s="502" t="s">
        <v>4107</v>
      </c>
      <c r="B2580" s="503" t="s">
        <v>4108</v>
      </c>
      <c r="C2580" s="514">
        <v>0</v>
      </c>
      <c r="D2580" s="514">
        <v>0</v>
      </c>
      <c r="E2580" s="514">
        <v>0</v>
      </c>
      <c r="F2580" s="514">
        <v>0</v>
      </c>
      <c r="G2580" s="514">
        <v>0</v>
      </c>
      <c r="H2580" s="514">
        <v>0</v>
      </c>
      <c r="I2580" s="514">
        <v>0</v>
      </c>
      <c r="J2580" s="514">
        <v>0</v>
      </c>
      <c r="K2580" s="514">
        <v>0</v>
      </c>
      <c r="L2580" s="514">
        <v>0</v>
      </c>
      <c r="M2580" s="514">
        <v>0</v>
      </c>
      <c r="N2580" s="514">
        <v>0</v>
      </c>
      <c r="O2580" s="499"/>
      <c r="P2580" s="499"/>
      <c r="Q2580" s="499"/>
    </row>
    <row r="2581" spans="1:17" ht="14.4" x14ac:dyDescent="0.3">
      <c r="A2581" s="502" t="s">
        <v>4109</v>
      </c>
      <c r="B2581" s="503" t="s">
        <v>1062</v>
      </c>
      <c r="C2581" s="514">
        <v>1151018.1599999999</v>
      </c>
      <c r="D2581" s="514">
        <v>1151018.1599999999</v>
      </c>
      <c r="E2581" s="514">
        <v>1101781.5</v>
      </c>
      <c r="F2581" s="514">
        <v>1101781.52</v>
      </c>
      <c r="G2581" s="514">
        <v>1101781.52</v>
      </c>
      <c r="H2581" s="514">
        <v>1101781.52</v>
      </c>
      <c r="I2581" s="514">
        <v>1101781.52</v>
      </c>
      <c r="J2581" s="514">
        <v>1101781.52</v>
      </c>
      <c r="K2581" s="514">
        <v>1101781.52</v>
      </c>
      <c r="L2581" s="514">
        <v>1101781.52</v>
      </c>
      <c r="M2581" s="514">
        <v>1101781.52</v>
      </c>
      <c r="N2581" s="514">
        <v>1101781.52</v>
      </c>
      <c r="O2581" s="499"/>
      <c r="P2581" s="499"/>
      <c r="Q2581" s="499"/>
    </row>
    <row r="2582" spans="1:17" ht="14.4" x14ac:dyDescent="0.3">
      <c r="A2582" s="502" t="s">
        <v>4110</v>
      </c>
      <c r="B2582" s="503" t="s">
        <v>1064</v>
      </c>
      <c r="C2582" s="514">
        <v>16478.28</v>
      </c>
      <c r="D2582" s="514">
        <v>16478.28</v>
      </c>
      <c r="E2582" s="514">
        <v>16478.28</v>
      </c>
      <c r="F2582" s="514">
        <v>16478.28</v>
      </c>
      <c r="G2582" s="514">
        <v>16478.28</v>
      </c>
      <c r="H2582" s="514">
        <v>18124.73</v>
      </c>
      <c r="I2582" s="514">
        <v>18124.740000000002</v>
      </c>
      <c r="J2582" s="514">
        <v>18124.740000000002</v>
      </c>
      <c r="K2582" s="514">
        <v>18124.740000000002</v>
      </c>
      <c r="L2582" s="514">
        <v>18124.740000000002</v>
      </c>
      <c r="M2582" s="514">
        <v>18124.740000000002</v>
      </c>
      <c r="N2582" s="514">
        <v>18124.740000000002</v>
      </c>
      <c r="O2582" s="499"/>
      <c r="P2582" s="499"/>
      <c r="Q2582" s="499"/>
    </row>
    <row r="2583" spans="1:17" ht="14.4" x14ac:dyDescent="0.3">
      <c r="A2583" s="502" t="s">
        <v>4111</v>
      </c>
      <c r="B2583" s="503" t="s">
        <v>1066</v>
      </c>
      <c r="C2583" s="514">
        <v>412.83</v>
      </c>
      <c r="D2583" s="514">
        <v>412.82</v>
      </c>
      <c r="E2583" s="514">
        <v>412.82</v>
      </c>
      <c r="F2583" s="514">
        <v>412.82</v>
      </c>
      <c r="G2583" s="514">
        <v>412.82</v>
      </c>
      <c r="H2583" s="514">
        <v>412.82</v>
      </c>
      <c r="I2583" s="514">
        <v>412.82</v>
      </c>
      <c r="J2583" s="514">
        <v>412.82</v>
      </c>
      <c r="K2583" s="514">
        <v>412.82</v>
      </c>
      <c r="L2583" s="514">
        <v>412.82</v>
      </c>
      <c r="M2583" s="514">
        <v>412.82</v>
      </c>
      <c r="N2583" s="514">
        <v>412.82</v>
      </c>
      <c r="O2583" s="499"/>
      <c r="P2583" s="499"/>
      <c r="Q2583" s="499"/>
    </row>
    <row r="2584" spans="1:17" ht="14.4" x14ac:dyDescent="0.3">
      <c r="A2584" s="502" t="s">
        <v>4112</v>
      </c>
      <c r="B2584" s="503" t="s">
        <v>1068</v>
      </c>
      <c r="C2584" s="514">
        <v>110.25</v>
      </c>
      <c r="D2584" s="514">
        <v>110.25</v>
      </c>
      <c r="E2584" s="514">
        <v>110.25</v>
      </c>
      <c r="F2584" s="514">
        <v>110.25</v>
      </c>
      <c r="G2584" s="514">
        <v>110.25</v>
      </c>
      <c r="H2584" s="514">
        <v>110.25</v>
      </c>
      <c r="I2584" s="514">
        <v>110.25</v>
      </c>
      <c r="J2584" s="514">
        <v>110.25</v>
      </c>
      <c r="K2584" s="514">
        <v>110.25</v>
      </c>
      <c r="L2584" s="514">
        <v>110.25</v>
      </c>
      <c r="M2584" s="514">
        <v>110.25</v>
      </c>
      <c r="N2584" s="514">
        <v>110.25</v>
      </c>
      <c r="O2584" s="499"/>
      <c r="P2584" s="499"/>
      <c r="Q2584" s="499"/>
    </row>
    <row r="2585" spans="1:17" ht="14.4" x14ac:dyDescent="0.3">
      <c r="A2585" s="502" t="s">
        <v>4113</v>
      </c>
      <c r="B2585" s="503" t="s">
        <v>1070</v>
      </c>
      <c r="C2585" s="514">
        <v>106.72</v>
      </c>
      <c r="D2585" s="514">
        <v>106.72</v>
      </c>
      <c r="E2585" s="514">
        <v>106.72</v>
      </c>
      <c r="F2585" s="514">
        <v>106.72</v>
      </c>
      <c r="G2585" s="514">
        <v>106.72</v>
      </c>
      <c r="H2585" s="514">
        <v>106.72</v>
      </c>
      <c r="I2585" s="514">
        <v>106.72</v>
      </c>
      <c r="J2585" s="514">
        <v>106.72</v>
      </c>
      <c r="K2585" s="514">
        <v>106.72</v>
      </c>
      <c r="L2585" s="514">
        <v>106.72</v>
      </c>
      <c r="M2585" s="514">
        <v>106.72</v>
      </c>
      <c r="N2585" s="514">
        <v>106.72</v>
      </c>
      <c r="O2585" s="499"/>
      <c r="P2585" s="499"/>
      <c r="Q2585" s="499"/>
    </row>
    <row r="2586" spans="1:17" ht="14.4" x14ac:dyDescent="0.3">
      <c r="A2586" s="502" t="s">
        <v>4114</v>
      </c>
      <c r="B2586" s="503" t="s">
        <v>1072</v>
      </c>
      <c r="C2586" s="514">
        <v>46378</v>
      </c>
      <c r="D2586" s="514">
        <v>46378</v>
      </c>
      <c r="E2586" s="514">
        <v>49820</v>
      </c>
      <c r="F2586" s="514">
        <v>46378</v>
      </c>
      <c r="G2586" s="514">
        <v>46378</v>
      </c>
      <c r="H2586" s="514">
        <v>51443</v>
      </c>
      <c r="I2586" s="514">
        <v>48001</v>
      </c>
      <c r="J2586" s="514">
        <v>48001</v>
      </c>
      <c r="K2586" s="514">
        <v>51443</v>
      </c>
      <c r="L2586" s="514">
        <v>48001</v>
      </c>
      <c r="M2586" s="514">
        <v>48001</v>
      </c>
      <c r="N2586" s="514">
        <v>51443</v>
      </c>
      <c r="O2586" s="499"/>
      <c r="P2586" s="499"/>
      <c r="Q2586" s="499"/>
    </row>
    <row r="2587" spans="1:17" ht="14.4" x14ac:dyDescent="0.3">
      <c r="A2587" s="502" t="s">
        <v>4115</v>
      </c>
      <c r="B2587" s="503" t="s">
        <v>4116</v>
      </c>
      <c r="C2587" s="514">
        <v>0</v>
      </c>
      <c r="D2587" s="514">
        <v>0</v>
      </c>
      <c r="E2587" s="514">
        <v>0</v>
      </c>
      <c r="F2587" s="514">
        <v>0</v>
      </c>
      <c r="G2587" s="514">
        <v>0</v>
      </c>
      <c r="H2587" s="514">
        <v>0</v>
      </c>
      <c r="I2587" s="514">
        <v>0</v>
      </c>
      <c r="J2587" s="514">
        <v>0</v>
      </c>
      <c r="K2587" s="514">
        <v>0</v>
      </c>
      <c r="L2587" s="514">
        <v>0</v>
      </c>
      <c r="M2587" s="514">
        <v>0</v>
      </c>
      <c r="N2587" s="514">
        <v>0</v>
      </c>
      <c r="O2587" s="499"/>
      <c r="P2587" s="499"/>
      <c r="Q2587" s="499"/>
    </row>
    <row r="2588" spans="1:17" ht="14.4" x14ac:dyDescent="0.3">
      <c r="A2588" s="502" t="s">
        <v>4117</v>
      </c>
      <c r="B2588" s="503" t="s">
        <v>1074</v>
      </c>
      <c r="C2588" s="514">
        <v>0</v>
      </c>
      <c r="D2588" s="514">
        <v>0</v>
      </c>
      <c r="E2588" s="514">
        <v>0</v>
      </c>
      <c r="F2588" s="514">
        <v>0</v>
      </c>
      <c r="G2588" s="514">
        <v>0</v>
      </c>
      <c r="H2588" s="514">
        <v>0</v>
      </c>
      <c r="I2588" s="514">
        <v>0</v>
      </c>
      <c r="J2588" s="514">
        <v>0</v>
      </c>
      <c r="K2588" s="514">
        <v>0</v>
      </c>
      <c r="L2588" s="514">
        <v>0</v>
      </c>
      <c r="M2588" s="514">
        <v>0</v>
      </c>
      <c r="N2588" s="514">
        <v>0</v>
      </c>
      <c r="O2588" s="499"/>
      <c r="P2588" s="499"/>
      <c r="Q2588" s="499"/>
    </row>
    <row r="2589" spans="1:17" ht="14.4" x14ac:dyDescent="0.3">
      <c r="A2589" s="502" t="s">
        <v>4118</v>
      </c>
      <c r="B2589" s="503" t="s">
        <v>1076</v>
      </c>
      <c r="C2589" s="514">
        <v>51506.67</v>
      </c>
      <c r="D2589" s="514">
        <v>51506.64</v>
      </c>
      <c r="E2589" s="514">
        <v>51506.64</v>
      </c>
      <c r="F2589" s="514">
        <v>51506.64</v>
      </c>
      <c r="G2589" s="514">
        <v>51549.19</v>
      </c>
      <c r="H2589" s="514">
        <v>51549.23</v>
      </c>
      <c r="I2589" s="514">
        <v>51549.23</v>
      </c>
      <c r="J2589" s="514">
        <v>64723.91</v>
      </c>
      <c r="K2589" s="514">
        <v>64724</v>
      </c>
      <c r="L2589" s="514">
        <v>64724</v>
      </c>
      <c r="M2589" s="514">
        <v>64724</v>
      </c>
      <c r="N2589" s="514">
        <v>64739.09</v>
      </c>
      <c r="O2589" s="499"/>
      <c r="P2589" s="499"/>
      <c r="Q2589" s="499"/>
    </row>
    <row r="2590" spans="1:17" ht="14.4" x14ac:dyDescent="0.3">
      <c r="A2590" s="502" t="s">
        <v>4119</v>
      </c>
      <c r="B2590" s="503" t="s">
        <v>4120</v>
      </c>
      <c r="C2590" s="514">
        <v>0</v>
      </c>
      <c r="D2590" s="514">
        <v>0</v>
      </c>
      <c r="E2590" s="514">
        <v>0</v>
      </c>
      <c r="F2590" s="514">
        <v>0</v>
      </c>
      <c r="G2590" s="514">
        <v>0</v>
      </c>
      <c r="H2590" s="514">
        <v>0</v>
      </c>
      <c r="I2590" s="514">
        <v>0</v>
      </c>
      <c r="J2590" s="514">
        <v>0</v>
      </c>
      <c r="K2590" s="514">
        <v>0</v>
      </c>
      <c r="L2590" s="514">
        <v>0</v>
      </c>
      <c r="M2590" s="514">
        <v>0</v>
      </c>
      <c r="N2590" s="514">
        <v>0</v>
      </c>
      <c r="O2590" s="499"/>
      <c r="P2590" s="499"/>
      <c r="Q2590" s="499"/>
    </row>
    <row r="2591" spans="1:17" ht="14.4" x14ac:dyDescent="0.3">
      <c r="A2591" s="502" t="s">
        <v>4121</v>
      </c>
      <c r="B2591" s="503" t="s">
        <v>4122</v>
      </c>
      <c r="C2591" s="514">
        <v>0</v>
      </c>
      <c r="D2591" s="514">
        <v>0</v>
      </c>
      <c r="E2591" s="514">
        <v>0</v>
      </c>
      <c r="F2591" s="514">
        <v>0</v>
      </c>
      <c r="G2591" s="514">
        <v>0</v>
      </c>
      <c r="H2591" s="514">
        <v>0</v>
      </c>
      <c r="I2591" s="514">
        <v>0</v>
      </c>
      <c r="J2591" s="514">
        <v>0</v>
      </c>
      <c r="K2591" s="514">
        <v>0</v>
      </c>
      <c r="L2591" s="514">
        <v>0</v>
      </c>
      <c r="M2591" s="514">
        <v>0</v>
      </c>
      <c r="N2591" s="514">
        <v>0</v>
      </c>
      <c r="O2591" s="499"/>
      <c r="P2591" s="499"/>
      <c r="Q2591" s="499"/>
    </row>
    <row r="2592" spans="1:17" ht="14.4" x14ac:dyDescent="0.3">
      <c r="A2592" s="502" t="s">
        <v>4123</v>
      </c>
      <c r="B2592" s="503" t="s">
        <v>1094</v>
      </c>
      <c r="C2592" s="514">
        <v>3184.83</v>
      </c>
      <c r="D2592" s="514">
        <v>3184.83</v>
      </c>
      <c r="E2592" s="514">
        <v>3184.83</v>
      </c>
      <c r="F2592" s="514">
        <v>4700.83</v>
      </c>
      <c r="G2592" s="514">
        <v>3184.83</v>
      </c>
      <c r="H2592" s="514">
        <v>3184.83</v>
      </c>
      <c r="I2592" s="514">
        <v>3184.83</v>
      </c>
      <c r="J2592" s="514">
        <v>3184.83</v>
      </c>
      <c r="K2592" s="514">
        <v>3184.83</v>
      </c>
      <c r="L2592" s="514">
        <v>3184.83</v>
      </c>
      <c r="M2592" s="514">
        <v>3184.83</v>
      </c>
      <c r="N2592" s="514">
        <v>3184.83</v>
      </c>
      <c r="O2592" s="499"/>
      <c r="P2592" s="499"/>
      <c r="Q2592" s="499"/>
    </row>
    <row r="2593" spans="1:17" ht="14.4" x14ac:dyDescent="0.3">
      <c r="A2593" s="502" t="s">
        <v>4124</v>
      </c>
      <c r="B2593" s="503" t="s">
        <v>4125</v>
      </c>
      <c r="C2593" s="514">
        <v>0</v>
      </c>
      <c r="D2593" s="514">
        <v>0</v>
      </c>
      <c r="E2593" s="514">
        <v>0</v>
      </c>
      <c r="F2593" s="514">
        <v>0</v>
      </c>
      <c r="G2593" s="514">
        <v>0</v>
      </c>
      <c r="H2593" s="514">
        <v>0</v>
      </c>
      <c r="I2593" s="514">
        <v>0</v>
      </c>
      <c r="J2593" s="514">
        <v>0</v>
      </c>
      <c r="K2593" s="514">
        <v>0</v>
      </c>
      <c r="L2593" s="514">
        <v>0</v>
      </c>
      <c r="M2593" s="514">
        <v>0</v>
      </c>
      <c r="N2593" s="514">
        <v>0</v>
      </c>
      <c r="O2593" s="499"/>
      <c r="P2593" s="499"/>
      <c r="Q2593" s="499"/>
    </row>
    <row r="2594" spans="1:17" ht="14.4" x14ac:dyDescent="0.3">
      <c r="A2594" s="502" t="s">
        <v>4126</v>
      </c>
      <c r="B2594" s="503" t="s">
        <v>1096</v>
      </c>
      <c r="C2594" s="514">
        <v>6427.91</v>
      </c>
      <c r="D2594" s="514">
        <v>6427.91</v>
      </c>
      <c r="E2594" s="514">
        <v>6427.91</v>
      </c>
      <c r="F2594" s="514">
        <v>6427.91</v>
      </c>
      <c r="G2594" s="514">
        <v>6427.91</v>
      </c>
      <c r="H2594" s="514">
        <v>6427.91</v>
      </c>
      <c r="I2594" s="514">
        <v>6427.91</v>
      </c>
      <c r="J2594" s="514">
        <v>6427.91</v>
      </c>
      <c r="K2594" s="514">
        <v>6427.91</v>
      </c>
      <c r="L2594" s="514">
        <v>6427.91</v>
      </c>
      <c r="M2594" s="514">
        <v>6427.91</v>
      </c>
      <c r="N2594" s="514">
        <v>6427.91</v>
      </c>
      <c r="O2594" s="499"/>
      <c r="P2594" s="499"/>
      <c r="Q2594" s="499"/>
    </row>
    <row r="2595" spans="1:17" ht="14.4" x14ac:dyDescent="0.3">
      <c r="A2595" s="502" t="s">
        <v>4127</v>
      </c>
      <c r="B2595" s="503" t="s">
        <v>4128</v>
      </c>
      <c r="C2595" s="514">
        <v>0</v>
      </c>
      <c r="D2595" s="514">
        <v>0</v>
      </c>
      <c r="E2595" s="514">
        <v>0</v>
      </c>
      <c r="F2595" s="514">
        <v>0</v>
      </c>
      <c r="G2595" s="514">
        <v>0</v>
      </c>
      <c r="H2595" s="514">
        <v>0</v>
      </c>
      <c r="I2595" s="514">
        <v>0</v>
      </c>
      <c r="J2595" s="514">
        <v>0</v>
      </c>
      <c r="K2595" s="514">
        <v>0</v>
      </c>
      <c r="L2595" s="514">
        <v>0</v>
      </c>
      <c r="M2595" s="514">
        <v>0</v>
      </c>
      <c r="N2595" s="514">
        <v>0</v>
      </c>
      <c r="O2595" s="499"/>
      <c r="P2595" s="499"/>
      <c r="Q2595" s="499"/>
    </row>
    <row r="2596" spans="1:17" ht="14.4" x14ac:dyDescent="0.3">
      <c r="A2596" s="502" t="s">
        <v>4129</v>
      </c>
      <c r="B2596" s="503" t="s">
        <v>4130</v>
      </c>
      <c r="C2596" s="514">
        <v>52</v>
      </c>
      <c r="D2596" s="514">
        <v>160</v>
      </c>
      <c r="E2596" s="514">
        <v>2</v>
      </c>
      <c r="F2596" s="514">
        <v>1568</v>
      </c>
      <c r="G2596" s="514">
        <v>21</v>
      </c>
      <c r="H2596" s="514">
        <v>0</v>
      </c>
      <c r="I2596" s="514">
        <v>0</v>
      </c>
      <c r="J2596" s="514">
        <v>0</v>
      </c>
      <c r="K2596" s="514">
        <v>0</v>
      </c>
      <c r="L2596" s="514">
        <v>0</v>
      </c>
      <c r="M2596" s="514">
        <v>0</v>
      </c>
      <c r="N2596" s="514">
        <v>4651</v>
      </c>
      <c r="O2596" s="499"/>
      <c r="P2596" s="499"/>
      <c r="Q2596" s="499"/>
    </row>
    <row r="2597" spans="1:17" ht="14.4" x14ac:dyDescent="0.3">
      <c r="A2597" s="502" t="s">
        <v>4131</v>
      </c>
      <c r="B2597" s="503" t="s">
        <v>1098</v>
      </c>
      <c r="C2597" s="514">
        <v>0</v>
      </c>
      <c r="D2597" s="514">
        <v>0</v>
      </c>
      <c r="E2597" s="514">
        <v>0</v>
      </c>
      <c r="F2597" s="514">
        <v>0</v>
      </c>
      <c r="G2597" s="514">
        <v>0</v>
      </c>
      <c r="H2597" s="514">
        <v>0</v>
      </c>
      <c r="I2597" s="514">
        <v>0</v>
      </c>
      <c r="J2597" s="514">
        <v>0</v>
      </c>
      <c r="K2597" s="514">
        <v>0</v>
      </c>
      <c r="L2597" s="514">
        <v>0</v>
      </c>
      <c r="M2597" s="514">
        <v>0</v>
      </c>
      <c r="N2597" s="514">
        <v>0</v>
      </c>
      <c r="O2597" s="499"/>
      <c r="P2597" s="499"/>
      <c r="Q2597" s="499"/>
    </row>
    <row r="2598" spans="1:17" ht="14.4" x14ac:dyDescent="0.3">
      <c r="A2598" s="538" t="s">
        <v>4132</v>
      </c>
      <c r="B2598" s="539" t="s">
        <v>1100</v>
      </c>
      <c r="C2598" s="540">
        <v>33084</v>
      </c>
      <c r="D2598" s="540">
        <v>33084</v>
      </c>
      <c r="E2598" s="540">
        <v>33084</v>
      </c>
      <c r="F2598" s="540">
        <v>34772</v>
      </c>
      <c r="G2598" s="540">
        <v>33084</v>
      </c>
      <c r="H2598" s="540">
        <v>33084</v>
      </c>
      <c r="I2598" s="540">
        <v>33084</v>
      </c>
      <c r="J2598" s="540">
        <v>33084</v>
      </c>
      <c r="K2598" s="540">
        <v>33084</v>
      </c>
      <c r="L2598" s="540">
        <v>33084</v>
      </c>
      <c r="M2598" s="540">
        <v>33084</v>
      </c>
      <c r="N2598" s="540">
        <v>33084</v>
      </c>
      <c r="O2598" s="499"/>
      <c r="P2598" s="499"/>
      <c r="Q2598" s="499"/>
    </row>
    <row r="2599" spans="1:17" ht="14.4" x14ac:dyDescent="0.3">
      <c r="A2599" s="502" t="s">
        <v>4133</v>
      </c>
      <c r="B2599" s="503" t="s">
        <v>4134</v>
      </c>
      <c r="C2599" s="514">
        <v>0</v>
      </c>
      <c r="D2599" s="514">
        <v>0</v>
      </c>
      <c r="E2599" s="514">
        <v>0</v>
      </c>
      <c r="F2599" s="514">
        <v>0</v>
      </c>
      <c r="G2599" s="514">
        <v>0</v>
      </c>
      <c r="H2599" s="514">
        <v>0</v>
      </c>
      <c r="I2599" s="514">
        <v>0</v>
      </c>
      <c r="J2599" s="514">
        <v>0</v>
      </c>
      <c r="K2599" s="514">
        <v>0</v>
      </c>
      <c r="L2599" s="514">
        <v>0</v>
      </c>
      <c r="M2599" s="514">
        <v>0</v>
      </c>
      <c r="N2599" s="514">
        <v>0</v>
      </c>
      <c r="O2599" s="499"/>
      <c r="P2599" s="499"/>
      <c r="Q2599" s="499"/>
    </row>
    <row r="2600" spans="1:17" ht="14.4" x14ac:dyDescent="0.3">
      <c r="A2600" s="502" t="s">
        <v>4135</v>
      </c>
      <c r="B2600" s="503" t="s">
        <v>4136</v>
      </c>
      <c r="C2600" s="514">
        <v>115833</v>
      </c>
      <c r="D2600" s="514">
        <v>115833</v>
      </c>
      <c r="E2600" s="514">
        <v>115833</v>
      </c>
      <c r="F2600" s="514">
        <v>115833</v>
      </c>
      <c r="G2600" s="514">
        <v>115833</v>
      </c>
      <c r="H2600" s="514">
        <v>115833</v>
      </c>
      <c r="I2600" s="514">
        <v>115833</v>
      </c>
      <c r="J2600" s="514">
        <v>115833</v>
      </c>
      <c r="K2600" s="514">
        <v>115833</v>
      </c>
      <c r="L2600" s="514">
        <v>115833</v>
      </c>
      <c r="M2600" s="514">
        <v>115833</v>
      </c>
      <c r="N2600" s="514">
        <v>132337</v>
      </c>
      <c r="O2600" s="499"/>
      <c r="P2600" s="499"/>
      <c r="Q2600" s="499"/>
    </row>
    <row r="2601" spans="1:17" ht="14.4" x14ac:dyDescent="0.3">
      <c r="A2601" s="502" t="s">
        <v>4137</v>
      </c>
      <c r="B2601" s="503" t="s">
        <v>1114</v>
      </c>
      <c r="C2601" s="514">
        <v>122850.25</v>
      </c>
      <c r="D2601" s="514">
        <v>122850.25</v>
      </c>
      <c r="E2601" s="514">
        <v>122850.25</v>
      </c>
      <c r="F2601" s="514">
        <v>122850.25</v>
      </c>
      <c r="G2601" s="514">
        <v>122850.25</v>
      </c>
      <c r="H2601" s="514">
        <v>122850.25</v>
      </c>
      <c r="I2601" s="514">
        <v>122850.25</v>
      </c>
      <c r="J2601" s="514">
        <v>122850.25</v>
      </c>
      <c r="K2601" s="514">
        <v>122850.25</v>
      </c>
      <c r="L2601" s="514">
        <v>122850.25</v>
      </c>
      <c r="M2601" s="514">
        <v>122850.25</v>
      </c>
      <c r="N2601" s="514">
        <v>122850.25</v>
      </c>
      <c r="O2601" s="499"/>
      <c r="P2601" s="499"/>
      <c r="Q2601" s="499"/>
    </row>
    <row r="2602" spans="1:17" ht="14.4" x14ac:dyDescent="0.3">
      <c r="A2602" s="502" t="s">
        <v>4138</v>
      </c>
      <c r="B2602" s="503" t="s">
        <v>4139</v>
      </c>
      <c r="C2602" s="514">
        <v>0</v>
      </c>
      <c r="D2602" s="514">
        <v>0</v>
      </c>
      <c r="E2602" s="514">
        <v>0</v>
      </c>
      <c r="F2602" s="514">
        <v>0</v>
      </c>
      <c r="G2602" s="514">
        <v>0</v>
      </c>
      <c r="H2602" s="514">
        <v>0</v>
      </c>
      <c r="I2602" s="514">
        <v>0</v>
      </c>
      <c r="J2602" s="514">
        <v>0</v>
      </c>
      <c r="K2602" s="514">
        <v>0</v>
      </c>
      <c r="L2602" s="514">
        <v>0</v>
      </c>
      <c r="M2602" s="514">
        <v>0</v>
      </c>
      <c r="N2602" s="514">
        <v>0</v>
      </c>
      <c r="O2602" s="499"/>
      <c r="P2602" s="499"/>
      <c r="Q2602" s="499"/>
    </row>
    <row r="2603" spans="1:17" ht="14.4" x14ac:dyDescent="0.3">
      <c r="A2603" s="502" t="s">
        <v>4140</v>
      </c>
      <c r="B2603" s="503" t="s">
        <v>4141</v>
      </c>
      <c r="C2603" s="514">
        <v>0</v>
      </c>
      <c r="D2603" s="514">
        <v>0</v>
      </c>
      <c r="E2603" s="514">
        <v>0</v>
      </c>
      <c r="F2603" s="514">
        <v>0</v>
      </c>
      <c r="G2603" s="514">
        <v>0</v>
      </c>
      <c r="H2603" s="514">
        <v>0</v>
      </c>
      <c r="I2603" s="514">
        <v>0</v>
      </c>
      <c r="J2603" s="514">
        <v>0</v>
      </c>
      <c r="K2603" s="514">
        <v>0</v>
      </c>
      <c r="L2603" s="514">
        <v>0</v>
      </c>
      <c r="M2603" s="514">
        <v>0</v>
      </c>
      <c r="N2603" s="514">
        <v>0</v>
      </c>
      <c r="O2603" s="499"/>
      <c r="P2603" s="499"/>
      <c r="Q2603" s="499"/>
    </row>
    <row r="2604" spans="1:17" ht="14.4" x14ac:dyDescent="0.3">
      <c r="A2604" s="502" t="s">
        <v>4142</v>
      </c>
      <c r="B2604" s="503" t="s">
        <v>4143</v>
      </c>
      <c r="C2604" s="514">
        <v>0</v>
      </c>
      <c r="D2604" s="514">
        <v>0</v>
      </c>
      <c r="E2604" s="514">
        <v>0</v>
      </c>
      <c r="F2604" s="514">
        <v>0</v>
      </c>
      <c r="G2604" s="514">
        <v>0</v>
      </c>
      <c r="H2604" s="514">
        <v>0</v>
      </c>
      <c r="I2604" s="514">
        <v>0</v>
      </c>
      <c r="J2604" s="514">
        <v>0</v>
      </c>
      <c r="K2604" s="514">
        <v>0</v>
      </c>
      <c r="L2604" s="514">
        <v>0</v>
      </c>
      <c r="M2604" s="514">
        <v>0</v>
      </c>
      <c r="N2604" s="514">
        <v>0</v>
      </c>
      <c r="O2604" s="499"/>
      <c r="P2604" s="499"/>
      <c r="Q2604" s="499"/>
    </row>
    <row r="2605" spans="1:17" ht="14.4" x14ac:dyDescent="0.3">
      <c r="A2605" s="502" t="s">
        <v>4144</v>
      </c>
      <c r="B2605" s="503" t="s">
        <v>4145</v>
      </c>
      <c r="C2605" s="514">
        <v>0</v>
      </c>
      <c r="D2605" s="514">
        <v>0</v>
      </c>
      <c r="E2605" s="514">
        <v>0</v>
      </c>
      <c r="F2605" s="514">
        <v>0</v>
      </c>
      <c r="G2605" s="514">
        <v>0</v>
      </c>
      <c r="H2605" s="514">
        <v>0</v>
      </c>
      <c r="I2605" s="514">
        <v>0</v>
      </c>
      <c r="J2605" s="514">
        <v>0</v>
      </c>
      <c r="K2605" s="514">
        <v>0</v>
      </c>
      <c r="L2605" s="514">
        <v>0</v>
      </c>
      <c r="M2605" s="514">
        <v>0</v>
      </c>
      <c r="N2605" s="514">
        <v>0</v>
      </c>
      <c r="O2605" s="499"/>
      <c r="P2605" s="499"/>
      <c r="Q2605" s="499"/>
    </row>
    <row r="2606" spans="1:17" ht="14.4" x14ac:dyDescent="0.3">
      <c r="A2606" s="502" t="s">
        <v>4146</v>
      </c>
      <c r="B2606" s="503" t="s">
        <v>1116</v>
      </c>
      <c r="C2606" s="514">
        <v>14089.88</v>
      </c>
      <c r="D2606" s="514">
        <v>14138.48</v>
      </c>
      <c r="E2606" s="514">
        <v>14138.48</v>
      </c>
      <c r="F2606" s="514">
        <v>14138.48</v>
      </c>
      <c r="G2606" s="514">
        <v>14175.62</v>
      </c>
      <c r="H2606" s="514">
        <v>14175.62</v>
      </c>
      <c r="I2606" s="514">
        <v>14175.62</v>
      </c>
      <c r="J2606" s="514">
        <v>14175.62</v>
      </c>
      <c r="K2606" s="514">
        <v>14175.62</v>
      </c>
      <c r="L2606" s="514">
        <v>14175.62</v>
      </c>
      <c r="M2606" s="514">
        <v>14175.62</v>
      </c>
      <c r="N2606" s="514">
        <v>14175.62</v>
      </c>
      <c r="O2606" s="499"/>
      <c r="P2606" s="499"/>
      <c r="Q2606" s="499"/>
    </row>
    <row r="2607" spans="1:17" ht="14.4" x14ac:dyDescent="0.3">
      <c r="A2607" s="502" t="s">
        <v>4147</v>
      </c>
      <c r="B2607" s="503" t="s">
        <v>1118</v>
      </c>
      <c r="C2607" s="514">
        <v>57804.7</v>
      </c>
      <c r="D2607" s="514">
        <v>14646</v>
      </c>
      <c r="E2607" s="514">
        <v>14646</v>
      </c>
      <c r="F2607" s="514">
        <v>14646</v>
      </c>
      <c r="G2607" s="514">
        <v>14646</v>
      </c>
      <c r="H2607" s="514">
        <v>14646</v>
      </c>
      <c r="I2607" s="514">
        <v>14646</v>
      </c>
      <c r="J2607" s="514">
        <v>14646</v>
      </c>
      <c r="K2607" s="514">
        <v>14646</v>
      </c>
      <c r="L2607" s="514">
        <v>14646</v>
      </c>
      <c r="M2607" s="514">
        <v>14646</v>
      </c>
      <c r="N2607" s="514">
        <v>14646</v>
      </c>
      <c r="O2607" s="499"/>
      <c r="P2607" s="499"/>
      <c r="Q2607" s="499"/>
    </row>
    <row r="2608" spans="1:17" ht="14.4" x14ac:dyDescent="0.3">
      <c r="A2608" s="502" t="s">
        <v>4148</v>
      </c>
      <c r="B2608" s="503" t="s">
        <v>4149</v>
      </c>
      <c r="C2608" s="514">
        <v>0</v>
      </c>
      <c r="D2608" s="514">
        <v>0</v>
      </c>
      <c r="E2608" s="514">
        <v>0</v>
      </c>
      <c r="F2608" s="514">
        <v>0</v>
      </c>
      <c r="G2608" s="514">
        <v>0</v>
      </c>
      <c r="H2608" s="514">
        <v>0</v>
      </c>
      <c r="I2608" s="514">
        <v>0</v>
      </c>
      <c r="J2608" s="514">
        <v>0</v>
      </c>
      <c r="K2608" s="514">
        <v>0</v>
      </c>
      <c r="L2608" s="514">
        <v>0</v>
      </c>
      <c r="M2608" s="514">
        <v>0</v>
      </c>
      <c r="N2608" s="514">
        <v>0</v>
      </c>
      <c r="O2608" s="499"/>
      <c r="P2608" s="499"/>
      <c r="Q2608" s="499"/>
    </row>
    <row r="2609" spans="1:17" ht="14.4" x14ac:dyDescent="0.3">
      <c r="A2609" s="502" t="s">
        <v>4150</v>
      </c>
      <c r="B2609" s="503" t="s">
        <v>1232</v>
      </c>
      <c r="C2609" s="514">
        <v>4500</v>
      </c>
      <c r="D2609" s="514">
        <v>4500</v>
      </c>
      <c r="E2609" s="514">
        <v>4500</v>
      </c>
      <c r="F2609" s="514">
        <v>4500</v>
      </c>
      <c r="G2609" s="514">
        <v>4500</v>
      </c>
      <c r="H2609" s="514">
        <v>4500</v>
      </c>
      <c r="I2609" s="514">
        <v>4500</v>
      </c>
      <c r="J2609" s="514">
        <v>4500</v>
      </c>
      <c r="K2609" s="514">
        <v>4500</v>
      </c>
      <c r="L2609" s="514">
        <v>4500</v>
      </c>
      <c r="M2609" s="514">
        <v>4500</v>
      </c>
      <c r="N2609" s="514">
        <v>4500</v>
      </c>
      <c r="O2609" s="499"/>
      <c r="P2609" s="499"/>
      <c r="Q2609" s="499"/>
    </row>
    <row r="2610" spans="1:17" ht="14.4" x14ac:dyDescent="0.3">
      <c r="A2610" s="502" t="s">
        <v>4151</v>
      </c>
      <c r="B2610" s="503" t="s">
        <v>4152</v>
      </c>
      <c r="C2610" s="514">
        <v>0</v>
      </c>
      <c r="D2610" s="514">
        <v>0</v>
      </c>
      <c r="E2610" s="514">
        <v>0</v>
      </c>
      <c r="F2610" s="514">
        <v>0</v>
      </c>
      <c r="G2610" s="514">
        <v>0</v>
      </c>
      <c r="H2610" s="514">
        <v>0</v>
      </c>
      <c r="I2610" s="514">
        <v>0</v>
      </c>
      <c r="J2610" s="514">
        <v>0</v>
      </c>
      <c r="K2610" s="514">
        <v>0</v>
      </c>
      <c r="L2610" s="514">
        <v>0</v>
      </c>
      <c r="M2610" s="514">
        <v>0</v>
      </c>
      <c r="N2610" s="514">
        <v>0</v>
      </c>
      <c r="O2610" s="499"/>
      <c r="P2610" s="499"/>
      <c r="Q2610" s="499"/>
    </row>
    <row r="2611" spans="1:17" ht="14.4" x14ac:dyDescent="0.3">
      <c r="A2611" s="502" t="s">
        <v>4153</v>
      </c>
      <c r="B2611" s="503" t="s">
        <v>4154</v>
      </c>
      <c r="C2611" s="514">
        <v>0</v>
      </c>
      <c r="D2611" s="514">
        <v>0</v>
      </c>
      <c r="E2611" s="514">
        <v>0</v>
      </c>
      <c r="F2611" s="514">
        <v>0</v>
      </c>
      <c r="G2611" s="514">
        <v>0</v>
      </c>
      <c r="H2611" s="514">
        <v>0</v>
      </c>
      <c r="I2611" s="514">
        <v>0</v>
      </c>
      <c r="J2611" s="514">
        <v>0</v>
      </c>
      <c r="K2611" s="514">
        <v>0</v>
      </c>
      <c r="L2611" s="514">
        <v>0</v>
      </c>
      <c r="M2611" s="514">
        <v>0</v>
      </c>
      <c r="N2611" s="514">
        <v>0</v>
      </c>
      <c r="O2611" s="499"/>
      <c r="P2611" s="499"/>
      <c r="Q2611" s="499"/>
    </row>
    <row r="2612" spans="1:17" ht="14.4" x14ac:dyDescent="0.3">
      <c r="A2612" s="502" t="s">
        <v>4155</v>
      </c>
      <c r="B2612" s="503" t="s">
        <v>1234</v>
      </c>
      <c r="C2612" s="514">
        <v>263044.44</v>
      </c>
      <c r="D2612" s="514">
        <v>263176.77</v>
      </c>
      <c r="E2612" s="514">
        <v>264995.74</v>
      </c>
      <c r="F2612" s="514">
        <v>267818.09999999998</v>
      </c>
      <c r="G2612" s="514">
        <v>265293.84999999998</v>
      </c>
      <c r="H2612" s="514">
        <v>264327.53000000003</v>
      </c>
      <c r="I2612" s="514">
        <v>264376.53000000003</v>
      </c>
      <c r="J2612" s="514">
        <v>264231.53000000003</v>
      </c>
      <c r="K2612" s="514">
        <v>263995.53000000003</v>
      </c>
      <c r="L2612" s="514">
        <v>265496.53000000003</v>
      </c>
      <c r="M2612" s="514">
        <v>269191.03000000003</v>
      </c>
      <c r="N2612" s="514">
        <v>267238.83</v>
      </c>
      <c r="O2612" s="499"/>
      <c r="P2612" s="499"/>
      <c r="Q2612" s="499"/>
    </row>
    <row r="2613" spans="1:17" ht="14.4" x14ac:dyDescent="0.3">
      <c r="A2613" s="502" t="s">
        <v>4156</v>
      </c>
      <c r="B2613" s="503" t="s">
        <v>1236</v>
      </c>
      <c r="C2613" s="514">
        <v>7500</v>
      </c>
      <c r="D2613" s="514">
        <v>7500</v>
      </c>
      <c r="E2613" s="514">
        <v>7500</v>
      </c>
      <c r="F2613" s="514">
        <v>7500</v>
      </c>
      <c r="G2613" s="514">
        <v>7500</v>
      </c>
      <c r="H2613" s="514">
        <v>7500</v>
      </c>
      <c r="I2613" s="514">
        <v>7500</v>
      </c>
      <c r="J2613" s="514">
        <v>7500</v>
      </c>
      <c r="K2613" s="514">
        <v>7500</v>
      </c>
      <c r="L2613" s="514">
        <v>7500</v>
      </c>
      <c r="M2613" s="514">
        <v>7500</v>
      </c>
      <c r="N2613" s="514">
        <v>7500</v>
      </c>
      <c r="O2613" s="499"/>
      <c r="P2613" s="499"/>
      <c r="Q2613" s="499"/>
    </row>
    <row r="2614" spans="1:17" ht="14.4" x14ac:dyDescent="0.3">
      <c r="A2614" s="502" t="s">
        <v>4157</v>
      </c>
      <c r="B2614" s="503" t="s">
        <v>1238</v>
      </c>
      <c r="C2614" s="514">
        <v>143177.85999999999</v>
      </c>
      <c r="D2614" s="514">
        <v>143177.85999999999</v>
      </c>
      <c r="E2614" s="514">
        <v>148177.85999999999</v>
      </c>
      <c r="F2614" s="514">
        <v>155638.43</v>
      </c>
      <c r="G2614" s="514">
        <v>160417.54999999999</v>
      </c>
      <c r="H2614" s="514">
        <v>170417.55</v>
      </c>
      <c r="I2614" s="514">
        <v>174037.4</v>
      </c>
      <c r="J2614" s="514">
        <v>174037.4</v>
      </c>
      <c r="K2614" s="514">
        <v>154037.4</v>
      </c>
      <c r="L2614" s="514">
        <v>157657.25</v>
      </c>
      <c r="M2614" s="514">
        <v>217657.25</v>
      </c>
      <c r="N2614" s="514">
        <v>235756.48</v>
      </c>
      <c r="O2614" s="499"/>
      <c r="P2614" s="499"/>
      <c r="Q2614" s="499"/>
    </row>
    <row r="2615" spans="1:17" ht="14.4" x14ac:dyDescent="0.3">
      <c r="A2615" s="502" t="s">
        <v>4158</v>
      </c>
      <c r="B2615" s="503" t="s">
        <v>4159</v>
      </c>
      <c r="C2615" s="514">
        <v>8940.27</v>
      </c>
      <c r="D2615" s="514">
        <v>8940.27</v>
      </c>
      <c r="E2615" s="514">
        <v>8940.27</v>
      </c>
      <c r="F2615" s="514">
        <v>8940.27</v>
      </c>
      <c r="G2615" s="514">
        <v>8940.27</v>
      </c>
      <c r="H2615" s="514">
        <v>8940.27</v>
      </c>
      <c r="I2615" s="514">
        <v>8940.27</v>
      </c>
      <c r="J2615" s="514">
        <v>8940.27</v>
      </c>
      <c r="K2615" s="514">
        <v>8940.27</v>
      </c>
      <c r="L2615" s="514">
        <v>8940.27</v>
      </c>
      <c r="M2615" s="514">
        <v>8940.27</v>
      </c>
      <c r="N2615" s="514">
        <v>8948.57</v>
      </c>
      <c r="O2615" s="499"/>
      <c r="P2615" s="499"/>
      <c r="Q2615" s="499"/>
    </row>
    <row r="2616" spans="1:17" ht="14.4" x14ac:dyDescent="0.3">
      <c r="A2616" s="502" t="s">
        <v>4160</v>
      </c>
      <c r="B2616" s="503" t="s">
        <v>4161</v>
      </c>
      <c r="C2616" s="514">
        <v>0</v>
      </c>
      <c r="D2616" s="514">
        <v>0</v>
      </c>
      <c r="E2616" s="514">
        <v>0</v>
      </c>
      <c r="F2616" s="514">
        <v>0</v>
      </c>
      <c r="G2616" s="514">
        <v>0</v>
      </c>
      <c r="H2616" s="514">
        <v>0</v>
      </c>
      <c r="I2616" s="514">
        <v>0</v>
      </c>
      <c r="J2616" s="514">
        <v>0</v>
      </c>
      <c r="K2616" s="514">
        <v>0</v>
      </c>
      <c r="L2616" s="514">
        <v>0</v>
      </c>
      <c r="M2616" s="514">
        <v>0</v>
      </c>
      <c r="N2616" s="514">
        <v>0</v>
      </c>
      <c r="O2616" s="499"/>
      <c r="P2616" s="499"/>
      <c r="Q2616" s="499"/>
    </row>
    <row r="2617" spans="1:17" ht="14.4" x14ac:dyDescent="0.3">
      <c r="A2617" s="502" t="s">
        <v>4162</v>
      </c>
      <c r="B2617" s="503" t="s">
        <v>1252</v>
      </c>
      <c r="C2617" s="514">
        <v>19750</v>
      </c>
      <c r="D2617" s="514">
        <v>19750</v>
      </c>
      <c r="E2617" s="514">
        <v>19750</v>
      </c>
      <c r="F2617" s="514">
        <v>19750</v>
      </c>
      <c r="G2617" s="514">
        <v>19750</v>
      </c>
      <c r="H2617" s="514">
        <v>19750</v>
      </c>
      <c r="I2617" s="514">
        <v>19750</v>
      </c>
      <c r="J2617" s="514">
        <v>19750</v>
      </c>
      <c r="K2617" s="514">
        <v>19750</v>
      </c>
      <c r="L2617" s="514">
        <v>19750</v>
      </c>
      <c r="M2617" s="514">
        <v>19750</v>
      </c>
      <c r="N2617" s="514">
        <v>19750</v>
      </c>
      <c r="O2617" s="499"/>
      <c r="P2617" s="499"/>
      <c r="Q2617" s="499"/>
    </row>
    <row r="2618" spans="1:17" ht="14.4" x14ac:dyDescent="0.3">
      <c r="A2618" s="502" t="s">
        <v>4163</v>
      </c>
      <c r="B2618" s="503" t="s">
        <v>4164</v>
      </c>
      <c r="C2618" s="514">
        <v>0</v>
      </c>
      <c r="D2618" s="514">
        <v>0</v>
      </c>
      <c r="E2618" s="514">
        <v>0</v>
      </c>
      <c r="F2618" s="514">
        <v>0</v>
      </c>
      <c r="G2618" s="514">
        <v>0</v>
      </c>
      <c r="H2618" s="514">
        <v>0</v>
      </c>
      <c r="I2618" s="514">
        <v>0</v>
      </c>
      <c r="J2618" s="514">
        <v>0</v>
      </c>
      <c r="K2618" s="514">
        <v>0</v>
      </c>
      <c r="L2618" s="514">
        <v>0</v>
      </c>
      <c r="M2618" s="514">
        <v>0</v>
      </c>
      <c r="N2618" s="514">
        <v>0</v>
      </c>
      <c r="O2618" s="499"/>
      <c r="P2618" s="499"/>
      <c r="Q2618" s="499"/>
    </row>
    <row r="2619" spans="1:17" ht="14.4" x14ac:dyDescent="0.3">
      <c r="A2619" s="502" t="s">
        <v>4165</v>
      </c>
      <c r="B2619" s="503" t="s">
        <v>1254</v>
      </c>
      <c r="C2619" s="514">
        <v>32719</v>
      </c>
      <c r="D2619" s="514">
        <v>32719</v>
      </c>
      <c r="E2619" s="514">
        <v>32719</v>
      </c>
      <c r="F2619" s="514">
        <v>32719</v>
      </c>
      <c r="G2619" s="514">
        <v>32719</v>
      </c>
      <c r="H2619" s="514">
        <v>32719</v>
      </c>
      <c r="I2619" s="514">
        <v>32719</v>
      </c>
      <c r="J2619" s="514">
        <v>32719</v>
      </c>
      <c r="K2619" s="514">
        <v>32719</v>
      </c>
      <c r="L2619" s="514">
        <v>32719</v>
      </c>
      <c r="M2619" s="514">
        <v>32719</v>
      </c>
      <c r="N2619" s="514">
        <v>32719</v>
      </c>
      <c r="O2619" s="499"/>
      <c r="P2619" s="499"/>
      <c r="Q2619" s="499"/>
    </row>
    <row r="2620" spans="1:17" ht="14.4" x14ac:dyDescent="0.3">
      <c r="A2620" s="502" t="s">
        <v>4166</v>
      </c>
      <c r="B2620" s="503" t="s">
        <v>1256</v>
      </c>
      <c r="C2620" s="514">
        <v>0</v>
      </c>
      <c r="D2620" s="514">
        <v>0</v>
      </c>
      <c r="E2620" s="514">
        <v>0</v>
      </c>
      <c r="F2620" s="514">
        <v>0</v>
      </c>
      <c r="G2620" s="514">
        <v>0</v>
      </c>
      <c r="H2620" s="514">
        <v>0</v>
      </c>
      <c r="I2620" s="514">
        <v>0</v>
      </c>
      <c r="J2620" s="514">
        <v>0</v>
      </c>
      <c r="K2620" s="514">
        <v>0</v>
      </c>
      <c r="L2620" s="514">
        <v>0</v>
      </c>
      <c r="M2620" s="514">
        <v>0</v>
      </c>
      <c r="N2620" s="514">
        <v>0</v>
      </c>
      <c r="O2620" s="499"/>
      <c r="P2620" s="499"/>
      <c r="Q2620" s="499"/>
    </row>
    <row r="2621" spans="1:17" ht="14.4" x14ac:dyDescent="0.3">
      <c r="A2621" s="502" t="s">
        <v>4167</v>
      </c>
      <c r="B2621" s="503" t="s">
        <v>1258</v>
      </c>
      <c r="C2621" s="514">
        <v>39480.33</v>
      </c>
      <c r="D2621" s="514">
        <v>39480.33</v>
      </c>
      <c r="E2621" s="514">
        <v>39480.33</v>
      </c>
      <c r="F2621" s="514">
        <v>39480.33</v>
      </c>
      <c r="G2621" s="514">
        <v>39480.33</v>
      </c>
      <c r="H2621" s="514">
        <v>39480.33</v>
      </c>
      <c r="I2621" s="514">
        <v>39480.33</v>
      </c>
      <c r="J2621" s="514">
        <v>39480.33</v>
      </c>
      <c r="K2621" s="514">
        <v>39480.33</v>
      </c>
      <c r="L2621" s="514">
        <v>39480.33</v>
      </c>
      <c r="M2621" s="514">
        <v>39480.33</v>
      </c>
      <c r="N2621" s="514">
        <v>39480.33</v>
      </c>
      <c r="O2621" s="499"/>
      <c r="P2621" s="499"/>
      <c r="Q2621" s="499"/>
    </row>
    <row r="2622" spans="1:17" ht="14.4" x14ac:dyDescent="0.3">
      <c r="A2622" s="502" t="s">
        <v>4168</v>
      </c>
      <c r="B2622" s="503" t="s">
        <v>4169</v>
      </c>
      <c r="C2622" s="514">
        <v>0</v>
      </c>
      <c r="D2622" s="514">
        <v>0</v>
      </c>
      <c r="E2622" s="514">
        <v>0</v>
      </c>
      <c r="F2622" s="514">
        <v>0</v>
      </c>
      <c r="G2622" s="514">
        <v>0</v>
      </c>
      <c r="H2622" s="514">
        <v>0</v>
      </c>
      <c r="I2622" s="514">
        <v>0</v>
      </c>
      <c r="J2622" s="514">
        <v>0</v>
      </c>
      <c r="K2622" s="514">
        <v>0</v>
      </c>
      <c r="L2622" s="514">
        <v>0</v>
      </c>
      <c r="M2622" s="514">
        <v>0</v>
      </c>
      <c r="N2622" s="514">
        <v>0</v>
      </c>
      <c r="O2622" s="499"/>
      <c r="P2622" s="499"/>
      <c r="Q2622" s="499"/>
    </row>
    <row r="2623" spans="1:17" ht="14.4" x14ac:dyDescent="0.3">
      <c r="A2623" s="502" t="s">
        <v>4170</v>
      </c>
      <c r="B2623" s="503" t="s">
        <v>1406</v>
      </c>
      <c r="C2623" s="514">
        <v>485.55</v>
      </c>
      <c r="D2623" s="514">
        <v>0</v>
      </c>
      <c r="E2623" s="514">
        <v>0</v>
      </c>
      <c r="F2623" s="514">
        <v>485.55</v>
      </c>
      <c r="G2623" s="514">
        <v>0</v>
      </c>
      <c r="H2623" s="514">
        <v>0</v>
      </c>
      <c r="I2623" s="514">
        <v>485.55</v>
      </c>
      <c r="J2623" s="514">
        <v>0</v>
      </c>
      <c r="K2623" s="514">
        <v>0</v>
      </c>
      <c r="L2623" s="514">
        <v>488.66</v>
      </c>
      <c r="M2623" s="514">
        <v>0</v>
      </c>
      <c r="N2623" s="514">
        <v>0</v>
      </c>
      <c r="O2623" s="499"/>
      <c r="P2623" s="499"/>
      <c r="Q2623" s="499"/>
    </row>
    <row r="2624" spans="1:17" ht="14.4" x14ac:dyDescent="0.3">
      <c r="A2624" s="502" t="s">
        <v>4171</v>
      </c>
      <c r="B2624" s="503" t="s">
        <v>1432</v>
      </c>
      <c r="C2624" s="514">
        <v>535004.09</v>
      </c>
      <c r="D2624" s="514">
        <v>416854.44</v>
      </c>
      <c r="E2624" s="514">
        <v>394595.27</v>
      </c>
      <c r="F2624" s="514">
        <v>496259.71</v>
      </c>
      <c r="G2624" s="514">
        <v>476106.72</v>
      </c>
      <c r="H2624" s="514">
        <v>475209.16</v>
      </c>
      <c r="I2624" s="514">
        <v>481730.65</v>
      </c>
      <c r="J2624" s="514">
        <v>442112.22</v>
      </c>
      <c r="K2624" s="514">
        <v>556668.11</v>
      </c>
      <c r="L2624" s="514">
        <v>492223.62</v>
      </c>
      <c r="M2624" s="514">
        <v>482058.76</v>
      </c>
      <c r="N2624" s="514">
        <v>547957.68000000005</v>
      </c>
      <c r="O2624" s="499"/>
      <c r="P2624" s="499"/>
      <c r="Q2624" s="499"/>
    </row>
    <row r="2625" spans="1:17" ht="14.4" x14ac:dyDescent="0.3">
      <c r="A2625" s="502" t="s">
        <v>4172</v>
      </c>
      <c r="B2625" s="503" t="s">
        <v>1434</v>
      </c>
      <c r="C2625" s="514">
        <v>0</v>
      </c>
      <c r="D2625" s="514">
        <v>0</v>
      </c>
      <c r="E2625" s="514">
        <v>0</v>
      </c>
      <c r="F2625" s="514">
        <v>0</v>
      </c>
      <c r="G2625" s="514">
        <v>0</v>
      </c>
      <c r="H2625" s="514">
        <v>0</v>
      </c>
      <c r="I2625" s="514">
        <v>0</v>
      </c>
      <c r="J2625" s="514">
        <v>0</v>
      </c>
      <c r="K2625" s="514">
        <v>0</v>
      </c>
      <c r="L2625" s="514">
        <v>0</v>
      </c>
      <c r="M2625" s="514">
        <v>0</v>
      </c>
      <c r="N2625" s="514">
        <v>0</v>
      </c>
      <c r="O2625" s="499"/>
      <c r="P2625" s="499"/>
      <c r="Q2625" s="499"/>
    </row>
    <row r="2626" spans="1:17" ht="14.4" x14ac:dyDescent="0.3">
      <c r="A2626" s="502" t="s">
        <v>4173</v>
      </c>
      <c r="B2626" s="503" t="s">
        <v>1436</v>
      </c>
      <c r="C2626" s="514">
        <v>0</v>
      </c>
      <c r="D2626" s="514">
        <v>0</v>
      </c>
      <c r="E2626" s="514">
        <v>175000</v>
      </c>
      <c r="F2626" s="514">
        <v>0</v>
      </c>
      <c r="G2626" s="514">
        <v>0</v>
      </c>
      <c r="H2626" s="514">
        <v>175000</v>
      </c>
      <c r="I2626" s="514">
        <v>0</v>
      </c>
      <c r="J2626" s="514">
        <v>0</v>
      </c>
      <c r="K2626" s="514">
        <v>175000</v>
      </c>
      <c r="L2626" s="514">
        <v>0</v>
      </c>
      <c r="M2626" s="514">
        <v>0</v>
      </c>
      <c r="N2626" s="514">
        <v>175000</v>
      </c>
      <c r="O2626" s="499"/>
      <c r="P2626" s="499"/>
      <c r="Q2626" s="499"/>
    </row>
    <row r="2627" spans="1:17" ht="14.4" x14ac:dyDescent="0.3">
      <c r="A2627" s="502" t="s">
        <v>4174</v>
      </c>
      <c r="B2627" s="503" t="s">
        <v>1438</v>
      </c>
      <c r="C2627" s="514">
        <v>0</v>
      </c>
      <c r="D2627" s="514">
        <v>0</v>
      </c>
      <c r="E2627" s="514">
        <v>0</v>
      </c>
      <c r="F2627" s="514">
        <v>0</v>
      </c>
      <c r="G2627" s="514">
        <v>0</v>
      </c>
      <c r="H2627" s="514">
        <v>0</v>
      </c>
      <c r="I2627" s="514">
        <v>0</v>
      </c>
      <c r="J2627" s="514">
        <v>0</v>
      </c>
      <c r="K2627" s="514">
        <v>0</v>
      </c>
      <c r="L2627" s="514">
        <v>0</v>
      </c>
      <c r="M2627" s="514">
        <v>0</v>
      </c>
      <c r="N2627" s="514">
        <v>0</v>
      </c>
      <c r="O2627" s="499"/>
      <c r="P2627" s="499"/>
      <c r="Q2627" s="499"/>
    </row>
    <row r="2628" spans="1:17" ht="14.4" x14ac:dyDescent="0.3">
      <c r="A2628" s="502" t="s">
        <v>4175</v>
      </c>
      <c r="B2628" s="503" t="s">
        <v>1440</v>
      </c>
      <c r="C2628" s="514">
        <v>0</v>
      </c>
      <c r="D2628" s="514">
        <v>0</v>
      </c>
      <c r="E2628" s="514">
        <v>100352.05</v>
      </c>
      <c r="F2628" s="514">
        <v>0</v>
      </c>
      <c r="G2628" s="514">
        <v>0</v>
      </c>
      <c r="H2628" s="514">
        <v>100352.05</v>
      </c>
      <c r="I2628" s="514">
        <v>0</v>
      </c>
      <c r="J2628" s="514">
        <v>0</v>
      </c>
      <c r="K2628" s="514">
        <v>100352.05</v>
      </c>
      <c r="L2628" s="514">
        <v>0</v>
      </c>
      <c r="M2628" s="514">
        <v>0</v>
      </c>
      <c r="N2628" s="514">
        <v>100352.05</v>
      </c>
      <c r="O2628" s="499"/>
      <c r="P2628" s="499"/>
      <c r="Q2628" s="499"/>
    </row>
    <row r="2629" spans="1:17" ht="14.4" x14ac:dyDescent="0.3">
      <c r="A2629" s="502" t="s">
        <v>4176</v>
      </c>
      <c r="B2629" s="503" t="s">
        <v>1442</v>
      </c>
      <c r="C2629" s="514">
        <v>97997</v>
      </c>
      <c r="D2629" s="514">
        <v>10000</v>
      </c>
      <c r="E2629" s="514">
        <v>16470</v>
      </c>
      <c r="F2629" s="514">
        <v>26647</v>
      </c>
      <c r="G2629" s="514">
        <v>11290</v>
      </c>
      <c r="H2629" s="514">
        <v>13385</v>
      </c>
      <c r="I2629" s="514">
        <v>24197</v>
      </c>
      <c r="J2629" s="514">
        <v>11500</v>
      </c>
      <c r="K2629" s="514">
        <v>26500</v>
      </c>
      <c r="L2629" s="514">
        <v>54516</v>
      </c>
      <c r="M2629" s="514">
        <v>29500</v>
      </c>
      <c r="N2629" s="514">
        <v>13000</v>
      </c>
      <c r="O2629" s="499"/>
      <c r="P2629" s="499"/>
      <c r="Q2629" s="499"/>
    </row>
    <row r="2630" spans="1:17" ht="14.4" x14ac:dyDescent="0.3">
      <c r="A2630" s="502" t="s">
        <v>4177</v>
      </c>
      <c r="B2630" s="503" t="s">
        <v>1444</v>
      </c>
      <c r="C2630" s="514">
        <v>644232.61</v>
      </c>
      <c r="D2630" s="514">
        <v>20000</v>
      </c>
      <c r="E2630" s="514">
        <v>815438.64</v>
      </c>
      <c r="F2630" s="514">
        <v>43400</v>
      </c>
      <c r="G2630" s="514">
        <v>15000</v>
      </c>
      <c r="H2630" s="514">
        <v>761438.64</v>
      </c>
      <c r="I2630" s="514">
        <v>50000</v>
      </c>
      <c r="J2630" s="514">
        <v>39400</v>
      </c>
      <c r="K2630" s="514">
        <v>765558.64</v>
      </c>
      <c r="L2630" s="514">
        <v>17319</v>
      </c>
      <c r="M2630" s="514">
        <v>40000.01</v>
      </c>
      <c r="N2630" s="514">
        <v>283696.03999999998</v>
      </c>
      <c r="O2630" s="499"/>
      <c r="P2630" s="499"/>
      <c r="Q2630" s="499"/>
    </row>
    <row r="2631" spans="1:17" ht="14.4" x14ac:dyDescent="0.3">
      <c r="A2631" s="502" t="s">
        <v>4178</v>
      </c>
      <c r="B2631" s="503" t="s">
        <v>1446</v>
      </c>
      <c r="C2631" s="514">
        <v>375250</v>
      </c>
      <c r="D2631" s="514">
        <v>173500</v>
      </c>
      <c r="E2631" s="514">
        <v>144584</v>
      </c>
      <c r="F2631" s="514">
        <v>248100</v>
      </c>
      <c r="G2631" s="514">
        <v>157750</v>
      </c>
      <c r="H2631" s="514">
        <v>228350</v>
      </c>
      <c r="I2631" s="514">
        <v>134750</v>
      </c>
      <c r="J2631" s="514">
        <v>553400</v>
      </c>
      <c r="K2631" s="514">
        <v>126750</v>
      </c>
      <c r="L2631" s="514">
        <v>148950</v>
      </c>
      <c r="M2631" s="514">
        <v>65900</v>
      </c>
      <c r="N2631" s="514">
        <v>255750</v>
      </c>
      <c r="O2631" s="499"/>
      <c r="P2631" s="499"/>
      <c r="Q2631" s="499"/>
    </row>
    <row r="2632" spans="1:17" ht="14.4" x14ac:dyDescent="0.3">
      <c r="A2632" s="502" t="s">
        <v>4179</v>
      </c>
      <c r="B2632" s="503" t="s">
        <v>1448</v>
      </c>
      <c r="C2632" s="514">
        <v>30833</v>
      </c>
      <c r="D2632" s="514">
        <v>30833</v>
      </c>
      <c r="E2632" s="514">
        <v>30833</v>
      </c>
      <c r="F2632" s="514">
        <v>30833</v>
      </c>
      <c r="G2632" s="514">
        <v>30833</v>
      </c>
      <c r="H2632" s="514">
        <v>30833</v>
      </c>
      <c r="I2632" s="514">
        <v>30833</v>
      </c>
      <c r="J2632" s="514">
        <v>30833</v>
      </c>
      <c r="K2632" s="514">
        <v>30833</v>
      </c>
      <c r="L2632" s="514">
        <v>30833</v>
      </c>
      <c r="M2632" s="514">
        <v>30833</v>
      </c>
      <c r="N2632" s="514">
        <v>30833</v>
      </c>
      <c r="O2632" s="499"/>
      <c r="P2632" s="499"/>
      <c r="Q2632" s="499"/>
    </row>
    <row r="2633" spans="1:17" ht="14.4" x14ac:dyDescent="0.3">
      <c r="A2633" s="502" t="s">
        <v>4180</v>
      </c>
      <c r="B2633" s="503" t="s">
        <v>1450</v>
      </c>
      <c r="C2633" s="514">
        <v>5000</v>
      </c>
      <c r="D2633" s="514">
        <v>5000</v>
      </c>
      <c r="E2633" s="514">
        <v>5000</v>
      </c>
      <c r="F2633" s="514">
        <v>5000</v>
      </c>
      <c r="G2633" s="514">
        <v>5000</v>
      </c>
      <c r="H2633" s="514">
        <v>5000</v>
      </c>
      <c r="I2633" s="514">
        <v>11000</v>
      </c>
      <c r="J2633" s="514">
        <v>5000</v>
      </c>
      <c r="K2633" s="514">
        <v>5000</v>
      </c>
      <c r="L2633" s="514">
        <v>5000</v>
      </c>
      <c r="M2633" s="514">
        <v>5000</v>
      </c>
      <c r="N2633" s="514">
        <v>11000</v>
      </c>
      <c r="O2633" s="499"/>
      <c r="P2633" s="499"/>
      <c r="Q2633" s="499"/>
    </row>
    <row r="2634" spans="1:17" ht="14.4" x14ac:dyDescent="0.3">
      <c r="A2634" s="502" t="s">
        <v>4181</v>
      </c>
      <c r="B2634" s="503" t="s">
        <v>4182</v>
      </c>
      <c r="C2634" s="514">
        <v>0</v>
      </c>
      <c r="D2634" s="514">
        <v>0</v>
      </c>
      <c r="E2634" s="514">
        <v>0</v>
      </c>
      <c r="F2634" s="514">
        <v>0</v>
      </c>
      <c r="G2634" s="514">
        <v>0</v>
      </c>
      <c r="H2634" s="514">
        <v>0</v>
      </c>
      <c r="I2634" s="514">
        <v>0</v>
      </c>
      <c r="J2634" s="514">
        <v>0</v>
      </c>
      <c r="K2634" s="514">
        <v>0</v>
      </c>
      <c r="L2634" s="514">
        <v>0</v>
      </c>
      <c r="M2634" s="514">
        <v>0</v>
      </c>
      <c r="N2634" s="514">
        <v>0</v>
      </c>
      <c r="O2634" s="499"/>
      <c r="P2634" s="499"/>
      <c r="Q2634" s="499"/>
    </row>
    <row r="2635" spans="1:17" ht="14.4" x14ac:dyDescent="0.3">
      <c r="A2635" s="502" t="s">
        <v>4183</v>
      </c>
      <c r="B2635" s="503" t="s">
        <v>4184</v>
      </c>
      <c r="C2635" s="514">
        <v>0</v>
      </c>
      <c r="D2635" s="514">
        <v>0</v>
      </c>
      <c r="E2635" s="514">
        <v>0</v>
      </c>
      <c r="F2635" s="514">
        <v>0</v>
      </c>
      <c r="G2635" s="514">
        <v>0</v>
      </c>
      <c r="H2635" s="514">
        <v>0</v>
      </c>
      <c r="I2635" s="514">
        <v>0</v>
      </c>
      <c r="J2635" s="514">
        <v>0</v>
      </c>
      <c r="K2635" s="514">
        <v>0</v>
      </c>
      <c r="L2635" s="514">
        <v>0</v>
      </c>
      <c r="M2635" s="514">
        <v>0</v>
      </c>
      <c r="N2635" s="514">
        <v>0</v>
      </c>
      <c r="O2635" s="499"/>
      <c r="P2635" s="499"/>
      <c r="Q2635" s="499"/>
    </row>
    <row r="2636" spans="1:17" ht="14.4" x14ac:dyDescent="0.3">
      <c r="A2636" s="502" t="s">
        <v>4185</v>
      </c>
      <c r="B2636" s="503" t="s">
        <v>1452</v>
      </c>
      <c r="C2636" s="514">
        <v>242670.96</v>
      </c>
      <c r="D2636" s="514">
        <v>49479</v>
      </c>
      <c r="E2636" s="514">
        <v>49479</v>
      </c>
      <c r="F2636" s="514">
        <v>242670.96</v>
      </c>
      <c r="G2636" s="514">
        <v>49479</v>
      </c>
      <c r="H2636" s="514">
        <v>49479</v>
      </c>
      <c r="I2636" s="514">
        <v>242670.96</v>
      </c>
      <c r="J2636" s="514">
        <v>49479</v>
      </c>
      <c r="K2636" s="514">
        <v>49479</v>
      </c>
      <c r="L2636" s="514">
        <v>242670.96</v>
      </c>
      <c r="M2636" s="514">
        <v>49479</v>
      </c>
      <c r="N2636" s="514">
        <v>49479</v>
      </c>
      <c r="O2636" s="499"/>
      <c r="P2636" s="499"/>
      <c r="Q2636" s="499"/>
    </row>
    <row r="2637" spans="1:17" ht="14.4" x14ac:dyDescent="0.3">
      <c r="A2637" s="502" t="s">
        <v>4186</v>
      </c>
      <c r="B2637" s="503" t="s">
        <v>1454</v>
      </c>
      <c r="C2637" s="514">
        <v>350</v>
      </c>
      <c r="D2637" s="514">
        <v>0</v>
      </c>
      <c r="E2637" s="514">
        <v>0</v>
      </c>
      <c r="F2637" s="514">
        <v>0</v>
      </c>
      <c r="G2637" s="514">
        <v>887.5</v>
      </c>
      <c r="H2637" s="514">
        <v>0</v>
      </c>
      <c r="I2637" s="514">
        <v>0</v>
      </c>
      <c r="J2637" s="514">
        <v>0</v>
      </c>
      <c r="K2637" s="514">
        <v>15000</v>
      </c>
      <c r="L2637" s="514">
        <v>1000</v>
      </c>
      <c r="M2637" s="514">
        <v>0</v>
      </c>
      <c r="N2637" s="514">
        <v>0</v>
      </c>
      <c r="O2637" s="499"/>
      <c r="P2637" s="499"/>
      <c r="Q2637" s="499"/>
    </row>
    <row r="2638" spans="1:17" ht="14.4" x14ac:dyDescent="0.3">
      <c r="A2638" s="502" t="s">
        <v>4187</v>
      </c>
      <c r="B2638" s="503" t="s">
        <v>1456</v>
      </c>
      <c r="C2638" s="514">
        <v>11931.25</v>
      </c>
      <c r="D2638" s="514">
        <v>0</v>
      </c>
      <c r="E2638" s="514">
        <v>0</v>
      </c>
      <c r="F2638" s="514">
        <v>0</v>
      </c>
      <c r="G2638" s="514">
        <v>0</v>
      </c>
      <c r="H2638" s="514">
        <v>0</v>
      </c>
      <c r="I2638" s="514">
        <v>0</v>
      </c>
      <c r="J2638" s="514">
        <v>0</v>
      </c>
      <c r="K2638" s="514">
        <v>0</v>
      </c>
      <c r="L2638" s="514">
        <v>0</v>
      </c>
      <c r="M2638" s="514">
        <v>0</v>
      </c>
      <c r="N2638" s="514">
        <v>0</v>
      </c>
      <c r="O2638" s="499"/>
      <c r="P2638" s="499"/>
      <c r="Q2638" s="499"/>
    </row>
    <row r="2639" spans="1:17" ht="14.4" x14ac:dyDescent="0.3">
      <c r="A2639" s="502" t="s">
        <v>4188</v>
      </c>
      <c r="B2639" s="503" t="s">
        <v>4189</v>
      </c>
      <c r="C2639" s="514">
        <v>0</v>
      </c>
      <c r="D2639" s="514">
        <v>0</v>
      </c>
      <c r="E2639" s="514">
        <v>0</v>
      </c>
      <c r="F2639" s="514">
        <v>0</v>
      </c>
      <c r="G2639" s="514">
        <v>0</v>
      </c>
      <c r="H2639" s="514">
        <v>0</v>
      </c>
      <c r="I2639" s="514">
        <v>0</v>
      </c>
      <c r="J2639" s="514">
        <v>0</v>
      </c>
      <c r="K2639" s="514">
        <v>0</v>
      </c>
      <c r="L2639" s="514">
        <v>0</v>
      </c>
      <c r="M2639" s="514">
        <v>0</v>
      </c>
      <c r="N2639" s="514">
        <v>0</v>
      </c>
      <c r="O2639" s="499"/>
      <c r="P2639" s="499"/>
      <c r="Q2639" s="499"/>
    </row>
    <row r="2640" spans="1:17" ht="14.4" x14ac:dyDescent="0.3">
      <c r="A2640" s="502" t="s">
        <v>4190</v>
      </c>
      <c r="B2640" s="503" t="s">
        <v>4191</v>
      </c>
      <c r="C2640" s="514">
        <v>0</v>
      </c>
      <c r="D2640" s="514">
        <v>0</v>
      </c>
      <c r="E2640" s="514">
        <v>0</v>
      </c>
      <c r="F2640" s="514">
        <v>0</v>
      </c>
      <c r="G2640" s="514">
        <v>0</v>
      </c>
      <c r="H2640" s="514">
        <v>0</v>
      </c>
      <c r="I2640" s="514">
        <v>0</v>
      </c>
      <c r="J2640" s="514">
        <v>0</v>
      </c>
      <c r="K2640" s="514">
        <v>0</v>
      </c>
      <c r="L2640" s="514">
        <v>0</v>
      </c>
      <c r="M2640" s="514">
        <v>0</v>
      </c>
      <c r="N2640" s="514">
        <v>0</v>
      </c>
      <c r="O2640" s="499"/>
      <c r="P2640" s="499"/>
      <c r="Q2640" s="499"/>
    </row>
    <row r="2641" spans="1:17" ht="14.4" x14ac:dyDescent="0.3">
      <c r="A2641" s="502" t="s">
        <v>4192</v>
      </c>
      <c r="B2641" s="503" t="s">
        <v>1458</v>
      </c>
      <c r="C2641" s="514">
        <v>19050</v>
      </c>
      <c r="D2641" s="514">
        <v>19050</v>
      </c>
      <c r="E2641" s="514">
        <v>18450</v>
      </c>
      <c r="F2641" s="514">
        <v>18150</v>
      </c>
      <c r="G2641" s="514">
        <v>18750</v>
      </c>
      <c r="H2641" s="514">
        <v>18900</v>
      </c>
      <c r="I2641" s="514">
        <v>18900</v>
      </c>
      <c r="J2641" s="514">
        <v>18900</v>
      </c>
      <c r="K2641" s="514">
        <v>113400.49</v>
      </c>
      <c r="L2641" s="514">
        <v>113850.49</v>
      </c>
      <c r="M2641" s="514">
        <v>114150.49</v>
      </c>
      <c r="N2641" s="514">
        <v>114150.5</v>
      </c>
      <c r="O2641" s="499"/>
      <c r="P2641" s="499"/>
      <c r="Q2641" s="499"/>
    </row>
    <row r="2642" spans="1:17" ht="14.4" x14ac:dyDescent="0.3">
      <c r="A2642" s="502" t="s">
        <v>4193</v>
      </c>
      <c r="B2642" s="503" t="s">
        <v>1460</v>
      </c>
      <c r="C2642" s="514">
        <v>0</v>
      </c>
      <c r="D2642" s="514">
        <v>75000</v>
      </c>
      <c r="E2642" s="514">
        <v>0</v>
      </c>
      <c r="F2642" s="514">
        <v>0</v>
      </c>
      <c r="G2642" s="514">
        <v>0</v>
      </c>
      <c r="H2642" s="514">
        <v>0</v>
      </c>
      <c r="I2642" s="514">
        <v>0</v>
      </c>
      <c r="J2642" s="514">
        <v>0</v>
      </c>
      <c r="K2642" s="514">
        <v>0</v>
      </c>
      <c r="L2642" s="514">
        <v>0</v>
      </c>
      <c r="M2642" s="514">
        <v>0</v>
      </c>
      <c r="N2642" s="514">
        <v>0</v>
      </c>
      <c r="O2642" s="499"/>
      <c r="P2642" s="499"/>
      <c r="Q2642" s="499"/>
    </row>
    <row r="2643" spans="1:17" ht="14.4" x14ac:dyDescent="0.3">
      <c r="A2643" s="502" t="s">
        <v>4194</v>
      </c>
      <c r="B2643" s="503" t="s">
        <v>1462</v>
      </c>
      <c r="C2643" s="514">
        <v>19983</v>
      </c>
      <c r="D2643" s="514">
        <v>6610</v>
      </c>
      <c r="E2643" s="514">
        <v>82767.72</v>
      </c>
      <c r="F2643" s="514">
        <v>11057</v>
      </c>
      <c r="G2643" s="514">
        <v>8033</v>
      </c>
      <c r="H2643" s="514">
        <v>8004</v>
      </c>
      <c r="I2643" s="514">
        <v>13917</v>
      </c>
      <c r="J2643" s="514">
        <v>7550</v>
      </c>
      <c r="K2643" s="514">
        <v>10750</v>
      </c>
      <c r="L2643" s="514">
        <v>7550</v>
      </c>
      <c r="M2643" s="514">
        <v>7550</v>
      </c>
      <c r="N2643" s="514">
        <v>10232</v>
      </c>
      <c r="O2643" s="499"/>
      <c r="P2643" s="499"/>
      <c r="Q2643" s="499"/>
    </row>
    <row r="2644" spans="1:17" ht="14.4" x14ac:dyDescent="0.3">
      <c r="A2644" s="502" t="s">
        <v>4195</v>
      </c>
      <c r="B2644" s="503" t="s">
        <v>1464</v>
      </c>
      <c r="C2644" s="514">
        <v>123485</v>
      </c>
      <c r="D2644" s="514">
        <v>0</v>
      </c>
      <c r="E2644" s="514">
        <v>0</v>
      </c>
      <c r="F2644" s="514">
        <v>0</v>
      </c>
      <c r="G2644" s="514">
        <v>0</v>
      </c>
      <c r="H2644" s="514">
        <v>0</v>
      </c>
      <c r="I2644" s="514">
        <v>0</v>
      </c>
      <c r="J2644" s="514">
        <v>0</v>
      </c>
      <c r="K2644" s="514">
        <v>0</v>
      </c>
      <c r="L2644" s="514">
        <v>0</v>
      </c>
      <c r="M2644" s="514">
        <v>0</v>
      </c>
      <c r="N2644" s="514">
        <v>0</v>
      </c>
      <c r="O2644" s="499"/>
      <c r="P2644" s="499"/>
      <c r="Q2644" s="499"/>
    </row>
    <row r="2645" spans="1:17" ht="14.4" x14ac:dyDescent="0.3">
      <c r="A2645" s="502" t="s">
        <v>4196</v>
      </c>
      <c r="B2645" s="503" t="s">
        <v>1466</v>
      </c>
      <c r="C2645" s="514">
        <v>131730.56</v>
      </c>
      <c r="D2645" s="514">
        <v>131560.56</v>
      </c>
      <c r="E2645" s="514">
        <v>137452</v>
      </c>
      <c r="F2645" s="514">
        <v>137509.62</v>
      </c>
      <c r="G2645" s="514">
        <v>137505.56</v>
      </c>
      <c r="H2645" s="514">
        <v>139832</v>
      </c>
      <c r="I2645" s="514">
        <v>137505.56</v>
      </c>
      <c r="J2645" s="514">
        <v>137535.56</v>
      </c>
      <c r="K2645" s="514">
        <v>139802</v>
      </c>
      <c r="L2645" s="514">
        <v>137509.62</v>
      </c>
      <c r="M2645" s="514">
        <v>137531.49</v>
      </c>
      <c r="N2645" s="514">
        <v>139832</v>
      </c>
      <c r="O2645" s="499"/>
      <c r="P2645" s="499"/>
      <c r="Q2645" s="499"/>
    </row>
    <row r="2646" spans="1:17" ht="14.4" x14ac:dyDescent="0.3">
      <c r="A2646" s="502" t="s">
        <v>4197</v>
      </c>
      <c r="B2646" s="503" t="s">
        <v>1468</v>
      </c>
      <c r="C2646" s="514">
        <v>2857794.33</v>
      </c>
      <c r="D2646" s="514">
        <v>2865794.33</v>
      </c>
      <c r="E2646" s="514">
        <v>2904669.33</v>
      </c>
      <c r="F2646" s="514">
        <v>2924244.33</v>
      </c>
      <c r="G2646" s="514">
        <v>2905089.33</v>
      </c>
      <c r="H2646" s="514">
        <v>2911197.33</v>
      </c>
      <c r="I2646" s="514">
        <v>2944187.33</v>
      </c>
      <c r="J2646" s="514">
        <v>2946812.33</v>
      </c>
      <c r="K2646" s="514">
        <v>3036332.33</v>
      </c>
      <c r="L2646" s="514">
        <v>2893962.33</v>
      </c>
      <c r="M2646" s="514">
        <v>2872419.33</v>
      </c>
      <c r="N2646" s="514">
        <v>2880599.33</v>
      </c>
      <c r="O2646" s="499"/>
      <c r="P2646" s="499"/>
      <c r="Q2646" s="499"/>
    </row>
    <row r="2647" spans="1:17" ht="14.4" x14ac:dyDescent="0.3">
      <c r="A2647" s="502" t="s">
        <v>4198</v>
      </c>
      <c r="B2647" s="503" t="s">
        <v>1470</v>
      </c>
      <c r="C2647" s="514">
        <v>0</v>
      </c>
      <c r="D2647" s="514">
        <v>0</v>
      </c>
      <c r="E2647" s="514">
        <v>0</v>
      </c>
      <c r="F2647" s="514">
        <v>0</v>
      </c>
      <c r="G2647" s="514">
        <v>0</v>
      </c>
      <c r="H2647" s="514">
        <v>0</v>
      </c>
      <c r="I2647" s="514">
        <v>0</v>
      </c>
      <c r="J2647" s="514">
        <v>0</v>
      </c>
      <c r="K2647" s="514">
        <v>0</v>
      </c>
      <c r="L2647" s="514">
        <v>0</v>
      </c>
      <c r="M2647" s="514">
        <v>0</v>
      </c>
      <c r="N2647" s="514">
        <v>0</v>
      </c>
      <c r="O2647" s="499"/>
      <c r="P2647" s="499"/>
      <c r="Q2647" s="499"/>
    </row>
    <row r="2648" spans="1:17" ht="14.4" x14ac:dyDescent="0.3">
      <c r="A2648" s="502" t="s">
        <v>4199</v>
      </c>
      <c r="B2648" s="503" t="s">
        <v>4200</v>
      </c>
      <c r="C2648" s="514">
        <v>0</v>
      </c>
      <c r="D2648" s="514">
        <v>0</v>
      </c>
      <c r="E2648" s="514">
        <v>0</v>
      </c>
      <c r="F2648" s="514">
        <v>0</v>
      </c>
      <c r="G2648" s="514">
        <v>0</v>
      </c>
      <c r="H2648" s="514">
        <v>0</v>
      </c>
      <c r="I2648" s="514">
        <v>0</v>
      </c>
      <c r="J2648" s="514">
        <v>0</v>
      </c>
      <c r="K2648" s="514">
        <v>0</v>
      </c>
      <c r="L2648" s="514">
        <v>0</v>
      </c>
      <c r="M2648" s="514">
        <v>0</v>
      </c>
      <c r="N2648" s="514">
        <v>0</v>
      </c>
      <c r="O2648" s="499"/>
      <c r="P2648" s="499"/>
      <c r="Q2648" s="499"/>
    </row>
    <row r="2649" spans="1:17" ht="14.4" x14ac:dyDescent="0.3">
      <c r="A2649" s="502" t="s">
        <v>4201</v>
      </c>
      <c r="B2649" s="503" t="s">
        <v>4202</v>
      </c>
      <c r="C2649" s="514">
        <v>0</v>
      </c>
      <c r="D2649" s="514">
        <v>0</v>
      </c>
      <c r="E2649" s="514">
        <v>0</v>
      </c>
      <c r="F2649" s="514">
        <v>0</v>
      </c>
      <c r="G2649" s="514">
        <v>0</v>
      </c>
      <c r="H2649" s="514">
        <v>0</v>
      </c>
      <c r="I2649" s="514">
        <v>0</v>
      </c>
      <c r="J2649" s="514">
        <v>0</v>
      </c>
      <c r="K2649" s="514">
        <v>0</v>
      </c>
      <c r="L2649" s="514">
        <v>0</v>
      </c>
      <c r="M2649" s="514">
        <v>0</v>
      </c>
      <c r="N2649" s="514">
        <v>0</v>
      </c>
      <c r="O2649" s="499"/>
      <c r="P2649" s="499"/>
      <c r="Q2649" s="499"/>
    </row>
    <row r="2650" spans="1:17" ht="14.4" x14ac:dyDescent="0.3">
      <c r="A2650" s="502" t="s">
        <v>4203</v>
      </c>
      <c r="B2650" s="503" t="s">
        <v>4204</v>
      </c>
      <c r="C2650" s="514">
        <v>0</v>
      </c>
      <c r="D2650" s="514">
        <v>0</v>
      </c>
      <c r="E2650" s="514">
        <v>0</v>
      </c>
      <c r="F2650" s="514">
        <v>0</v>
      </c>
      <c r="G2650" s="514">
        <v>0</v>
      </c>
      <c r="H2650" s="514">
        <v>0</v>
      </c>
      <c r="I2650" s="514">
        <v>0</v>
      </c>
      <c r="J2650" s="514">
        <v>0</v>
      </c>
      <c r="K2650" s="514">
        <v>0</v>
      </c>
      <c r="L2650" s="514">
        <v>0</v>
      </c>
      <c r="M2650" s="514">
        <v>0</v>
      </c>
      <c r="N2650" s="514">
        <v>0</v>
      </c>
      <c r="O2650" s="499"/>
      <c r="P2650" s="499"/>
      <c r="Q2650" s="499"/>
    </row>
    <row r="2651" spans="1:17" ht="14.4" x14ac:dyDescent="0.3">
      <c r="A2651" s="502" t="s">
        <v>4205</v>
      </c>
      <c r="B2651" s="503" t="s">
        <v>4206</v>
      </c>
      <c r="C2651" s="514">
        <v>0</v>
      </c>
      <c r="D2651" s="514">
        <v>0</v>
      </c>
      <c r="E2651" s="514">
        <v>0</v>
      </c>
      <c r="F2651" s="514">
        <v>0</v>
      </c>
      <c r="G2651" s="514">
        <v>0</v>
      </c>
      <c r="H2651" s="514">
        <v>0</v>
      </c>
      <c r="I2651" s="514">
        <v>0</v>
      </c>
      <c r="J2651" s="514">
        <v>0</v>
      </c>
      <c r="K2651" s="514">
        <v>0</v>
      </c>
      <c r="L2651" s="514">
        <v>0</v>
      </c>
      <c r="M2651" s="514">
        <v>0</v>
      </c>
      <c r="N2651" s="514">
        <v>0</v>
      </c>
      <c r="O2651" s="499"/>
      <c r="P2651" s="499"/>
      <c r="Q2651" s="499"/>
    </row>
    <row r="2652" spans="1:17" ht="14.4" x14ac:dyDescent="0.3">
      <c r="A2652" s="502" t="s">
        <v>4207</v>
      </c>
      <c r="B2652" s="503" t="s">
        <v>4208</v>
      </c>
      <c r="C2652" s="514">
        <v>0</v>
      </c>
      <c r="D2652" s="514">
        <v>0</v>
      </c>
      <c r="E2652" s="514">
        <v>0</v>
      </c>
      <c r="F2652" s="514">
        <v>0</v>
      </c>
      <c r="G2652" s="514">
        <v>0</v>
      </c>
      <c r="H2652" s="514">
        <v>0</v>
      </c>
      <c r="I2652" s="514">
        <v>0</v>
      </c>
      <c r="J2652" s="514">
        <v>0</v>
      </c>
      <c r="K2652" s="514">
        <v>0</v>
      </c>
      <c r="L2652" s="514">
        <v>0</v>
      </c>
      <c r="M2652" s="514">
        <v>0</v>
      </c>
      <c r="N2652" s="514">
        <v>0</v>
      </c>
      <c r="O2652" s="499"/>
      <c r="P2652" s="499"/>
      <c r="Q2652" s="499"/>
    </row>
    <row r="2653" spans="1:17" ht="14.4" x14ac:dyDescent="0.3">
      <c r="A2653" s="502" t="s">
        <v>4209</v>
      </c>
      <c r="B2653" s="503" t="s">
        <v>1472</v>
      </c>
      <c r="C2653" s="514">
        <v>0</v>
      </c>
      <c r="D2653" s="514">
        <v>0</v>
      </c>
      <c r="E2653" s="514">
        <v>0</v>
      </c>
      <c r="F2653" s="514">
        <v>0</v>
      </c>
      <c r="G2653" s="514">
        <v>0</v>
      </c>
      <c r="H2653" s="514">
        <v>0</v>
      </c>
      <c r="I2653" s="514">
        <v>0</v>
      </c>
      <c r="J2653" s="514">
        <v>0</v>
      </c>
      <c r="K2653" s="514">
        <v>0</v>
      </c>
      <c r="L2653" s="514">
        <v>0</v>
      </c>
      <c r="M2653" s="514">
        <v>0</v>
      </c>
      <c r="N2653" s="514">
        <v>0</v>
      </c>
      <c r="O2653" s="499"/>
      <c r="P2653" s="499"/>
      <c r="Q2653" s="499"/>
    </row>
    <row r="2654" spans="1:17" ht="14.4" x14ac:dyDescent="0.3">
      <c r="A2654" s="502" t="s">
        <v>4210</v>
      </c>
      <c r="B2654" s="503" t="s">
        <v>1474</v>
      </c>
      <c r="C2654" s="514">
        <v>2916666.67</v>
      </c>
      <c r="D2654" s="514">
        <v>2916666.67</v>
      </c>
      <c r="E2654" s="514">
        <v>2916666.67</v>
      </c>
      <c r="F2654" s="514">
        <v>2916666.67</v>
      </c>
      <c r="G2654" s="514">
        <v>2916666.67</v>
      </c>
      <c r="H2654" s="514">
        <v>2916666.67</v>
      </c>
      <c r="I2654" s="514">
        <v>2916666.67</v>
      </c>
      <c r="J2654" s="514">
        <v>2916666.67</v>
      </c>
      <c r="K2654" s="514">
        <v>2916666.67</v>
      </c>
      <c r="L2654" s="514">
        <v>2916666.67</v>
      </c>
      <c r="M2654" s="514">
        <v>2916666.67</v>
      </c>
      <c r="N2654" s="514">
        <v>2916666.67</v>
      </c>
      <c r="O2654" s="499"/>
      <c r="P2654" s="499"/>
      <c r="Q2654" s="499"/>
    </row>
    <row r="2655" spans="1:17" ht="14.4" x14ac:dyDescent="0.3">
      <c r="A2655" s="502" t="s">
        <v>4211</v>
      </c>
      <c r="B2655" s="503" t="s">
        <v>4212</v>
      </c>
      <c r="C2655" s="514">
        <v>0</v>
      </c>
      <c r="D2655" s="514">
        <v>0</v>
      </c>
      <c r="E2655" s="514">
        <v>0</v>
      </c>
      <c r="F2655" s="514">
        <v>0</v>
      </c>
      <c r="G2655" s="514">
        <v>0</v>
      </c>
      <c r="H2655" s="514">
        <v>0</v>
      </c>
      <c r="I2655" s="514">
        <v>0</v>
      </c>
      <c r="J2655" s="514">
        <v>0</v>
      </c>
      <c r="K2655" s="514">
        <v>0</v>
      </c>
      <c r="L2655" s="514">
        <v>0</v>
      </c>
      <c r="M2655" s="514">
        <v>0</v>
      </c>
      <c r="N2655" s="514">
        <v>0</v>
      </c>
      <c r="O2655" s="499"/>
      <c r="P2655" s="499"/>
      <c r="Q2655" s="499"/>
    </row>
    <row r="2656" spans="1:17" ht="14.4" x14ac:dyDescent="0.3">
      <c r="A2656" s="502" t="s">
        <v>4213</v>
      </c>
      <c r="B2656" s="503" t="s">
        <v>1476</v>
      </c>
      <c r="C2656" s="514">
        <v>72229.070000000007</v>
      </c>
      <c r="D2656" s="514">
        <v>72229.070000000007</v>
      </c>
      <c r="E2656" s="514">
        <v>72314.070000000007</v>
      </c>
      <c r="F2656" s="514">
        <v>82333.23</v>
      </c>
      <c r="G2656" s="514">
        <v>82333.23</v>
      </c>
      <c r="H2656" s="514">
        <v>82333.23</v>
      </c>
      <c r="I2656" s="514">
        <v>87385.3</v>
      </c>
      <c r="J2656" s="514">
        <v>87385.3</v>
      </c>
      <c r="K2656" s="514">
        <v>87385.3</v>
      </c>
      <c r="L2656" s="514">
        <v>92437.38</v>
      </c>
      <c r="M2656" s="514">
        <v>92437.38</v>
      </c>
      <c r="N2656" s="514">
        <v>117697.76</v>
      </c>
      <c r="O2656" s="499"/>
      <c r="P2656" s="499"/>
      <c r="Q2656" s="499"/>
    </row>
    <row r="2657" spans="1:17" ht="14.4" x14ac:dyDescent="0.3">
      <c r="A2657" s="502" t="s">
        <v>4214</v>
      </c>
      <c r="B2657" s="503" t="s">
        <v>1478</v>
      </c>
      <c r="C2657" s="514">
        <v>89261.82</v>
      </c>
      <c r="D2657" s="514">
        <v>200261.82</v>
      </c>
      <c r="E2657" s="514">
        <v>224261.82</v>
      </c>
      <c r="F2657" s="514">
        <v>93217.27</v>
      </c>
      <c r="G2657" s="514">
        <v>93217.27</v>
      </c>
      <c r="H2657" s="514">
        <v>93217.27</v>
      </c>
      <c r="I2657" s="514">
        <v>95194.99</v>
      </c>
      <c r="J2657" s="514">
        <v>95194.99</v>
      </c>
      <c r="K2657" s="514">
        <v>163194.99</v>
      </c>
      <c r="L2657" s="514">
        <v>165172.71</v>
      </c>
      <c r="M2657" s="514">
        <v>177172.71</v>
      </c>
      <c r="N2657" s="514">
        <v>119061.33</v>
      </c>
      <c r="O2657" s="499"/>
      <c r="P2657" s="499"/>
      <c r="Q2657" s="499"/>
    </row>
    <row r="2658" spans="1:17" ht="14.4" x14ac:dyDescent="0.3">
      <c r="A2658" s="502" t="s">
        <v>4215</v>
      </c>
      <c r="B2658" s="503" t="s">
        <v>1480</v>
      </c>
      <c r="C2658" s="514">
        <v>93911.58</v>
      </c>
      <c r="D2658" s="514">
        <v>93911.58</v>
      </c>
      <c r="E2658" s="514">
        <v>93911.58</v>
      </c>
      <c r="F2658" s="514">
        <v>107284.66</v>
      </c>
      <c r="G2658" s="514">
        <v>107284.66</v>
      </c>
      <c r="H2658" s="514">
        <v>107284.66</v>
      </c>
      <c r="I2658" s="514">
        <v>113971.2</v>
      </c>
      <c r="J2658" s="514">
        <v>113971.2</v>
      </c>
      <c r="K2658" s="514">
        <v>113971.2</v>
      </c>
      <c r="L2658" s="514">
        <v>120657.74</v>
      </c>
      <c r="M2658" s="514">
        <v>120657.74</v>
      </c>
      <c r="N2658" s="514">
        <v>154090.45000000001</v>
      </c>
      <c r="O2658" s="499"/>
      <c r="P2658" s="499"/>
      <c r="Q2658" s="499"/>
    </row>
    <row r="2659" spans="1:17" ht="14.4" x14ac:dyDescent="0.3">
      <c r="A2659" s="502" t="s">
        <v>4216</v>
      </c>
      <c r="B2659" s="503" t="s">
        <v>1482</v>
      </c>
      <c r="C2659" s="514">
        <v>21959.75</v>
      </c>
      <c r="D2659" s="514">
        <v>58959.75</v>
      </c>
      <c r="E2659" s="514">
        <v>66959.75</v>
      </c>
      <c r="F2659" s="514">
        <v>21959.75</v>
      </c>
      <c r="G2659" s="514">
        <v>21959.75</v>
      </c>
      <c r="H2659" s="514">
        <v>21959.75</v>
      </c>
      <c r="I2659" s="514">
        <v>21959.75</v>
      </c>
      <c r="J2659" s="514">
        <v>21959.75</v>
      </c>
      <c r="K2659" s="514">
        <v>44626.42</v>
      </c>
      <c r="L2659" s="514">
        <v>44626.42</v>
      </c>
      <c r="M2659" s="514">
        <v>48626.42</v>
      </c>
      <c r="N2659" s="514">
        <v>25959.75</v>
      </c>
      <c r="O2659" s="499"/>
      <c r="P2659" s="499"/>
      <c r="Q2659" s="499"/>
    </row>
    <row r="2660" spans="1:17" ht="14.4" x14ac:dyDescent="0.3">
      <c r="A2660" s="502" t="s">
        <v>4217</v>
      </c>
      <c r="B2660" s="503" t="s">
        <v>4218</v>
      </c>
      <c r="C2660" s="514">
        <v>0</v>
      </c>
      <c r="D2660" s="514">
        <v>0</v>
      </c>
      <c r="E2660" s="514">
        <v>0</v>
      </c>
      <c r="F2660" s="514">
        <v>0</v>
      </c>
      <c r="G2660" s="514">
        <v>0</v>
      </c>
      <c r="H2660" s="514">
        <v>0</v>
      </c>
      <c r="I2660" s="514">
        <v>0</v>
      </c>
      <c r="J2660" s="514">
        <v>0</v>
      </c>
      <c r="K2660" s="514">
        <v>0</v>
      </c>
      <c r="L2660" s="514">
        <v>0</v>
      </c>
      <c r="M2660" s="514">
        <v>0</v>
      </c>
      <c r="N2660" s="514">
        <v>0</v>
      </c>
      <c r="O2660" s="499"/>
      <c r="P2660" s="499"/>
      <c r="Q2660" s="499"/>
    </row>
    <row r="2661" spans="1:17" ht="14.4" x14ac:dyDescent="0.3">
      <c r="A2661" s="502" t="s">
        <v>4219</v>
      </c>
      <c r="B2661" s="503" t="s">
        <v>4220</v>
      </c>
      <c r="C2661" s="514">
        <v>0</v>
      </c>
      <c r="D2661" s="514">
        <v>0</v>
      </c>
      <c r="E2661" s="514">
        <v>0</v>
      </c>
      <c r="F2661" s="514">
        <v>0</v>
      </c>
      <c r="G2661" s="514">
        <v>0</v>
      </c>
      <c r="H2661" s="514">
        <v>0</v>
      </c>
      <c r="I2661" s="514">
        <v>0</v>
      </c>
      <c r="J2661" s="514">
        <v>0</v>
      </c>
      <c r="K2661" s="514">
        <v>0</v>
      </c>
      <c r="L2661" s="514">
        <v>0</v>
      </c>
      <c r="M2661" s="514">
        <v>0</v>
      </c>
      <c r="N2661" s="514">
        <v>0</v>
      </c>
      <c r="O2661" s="499"/>
      <c r="P2661" s="499"/>
      <c r="Q2661" s="499"/>
    </row>
    <row r="2662" spans="1:17" ht="14.4" x14ac:dyDescent="0.3">
      <c r="A2662" s="502" t="s">
        <v>4221</v>
      </c>
      <c r="B2662" s="503" t="s">
        <v>4222</v>
      </c>
      <c r="C2662" s="514">
        <v>0</v>
      </c>
      <c r="D2662" s="514">
        <v>0</v>
      </c>
      <c r="E2662" s="514">
        <v>0</v>
      </c>
      <c r="F2662" s="514">
        <v>0</v>
      </c>
      <c r="G2662" s="514">
        <v>0</v>
      </c>
      <c r="H2662" s="514">
        <v>0</v>
      </c>
      <c r="I2662" s="514">
        <v>0</v>
      </c>
      <c r="J2662" s="514">
        <v>0</v>
      </c>
      <c r="K2662" s="514">
        <v>0</v>
      </c>
      <c r="L2662" s="514">
        <v>0</v>
      </c>
      <c r="M2662" s="514">
        <v>0</v>
      </c>
      <c r="N2662" s="514">
        <v>0</v>
      </c>
      <c r="O2662" s="499"/>
      <c r="P2662" s="499"/>
      <c r="Q2662" s="499"/>
    </row>
    <row r="2663" spans="1:17" ht="14.4" x14ac:dyDescent="0.3">
      <c r="A2663" s="502" t="s">
        <v>4223</v>
      </c>
      <c r="B2663" s="503" t="s">
        <v>4224</v>
      </c>
      <c r="C2663" s="514">
        <v>0</v>
      </c>
      <c r="D2663" s="514">
        <v>0</v>
      </c>
      <c r="E2663" s="514">
        <v>0</v>
      </c>
      <c r="F2663" s="514">
        <v>0</v>
      </c>
      <c r="G2663" s="514">
        <v>0</v>
      </c>
      <c r="H2663" s="514">
        <v>0</v>
      </c>
      <c r="I2663" s="514">
        <v>0</v>
      </c>
      <c r="J2663" s="514">
        <v>0</v>
      </c>
      <c r="K2663" s="514">
        <v>0</v>
      </c>
      <c r="L2663" s="514">
        <v>0</v>
      </c>
      <c r="M2663" s="514">
        <v>0</v>
      </c>
      <c r="N2663" s="514">
        <v>0</v>
      </c>
      <c r="O2663" s="499"/>
      <c r="P2663" s="499"/>
      <c r="Q2663" s="499"/>
    </row>
    <row r="2664" spans="1:17" ht="14.4" x14ac:dyDescent="0.3">
      <c r="A2664" s="502" t="s">
        <v>4225</v>
      </c>
      <c r="B2664" s="503" t="s">
        <v>1408</v>
      </c>
      <c r="C2664" s="514">
        <v>11134.58</v>
      </c>
      <c r="D2664" s="514">
        <v>11134.58</v>
      </c>
      <c r="E2664" s="514">
        <v>11134.58</v>
      </c>
      <c r="F2664" s="514">
        <v>11134.58</v>
      </c>
      <c r="G2664" s="514">
        <v>11134.58</v>
      </c>
      <c r="H2664" s="514">
        <v>11134.58</v>
      </c>
      <c r="I2664" s="514">
        <v>11134.58</v>
      </c>
      <c r="J2664" s="514">
        <v>11134.58</v>
      </c>
      <c r="K2664" s="514">
        <v>11134.58</v>
      </c>
      <c r="L2664" s="514">
        <v>11134.58</v>
      </c>
      <c r="M2664" s="514">
        <v>11134.58</v>
      </c>
      <c r="N2664" s="514">
        <v>11134.58</v>
      </c>
      <c r="O2664" s="499"/>
      <c r="P2664" s="499"/>
      <c r="Q2664" s="499"/>
    </row>
    <row r="2665" spans="1:17" ht="14.4" x14ac:dyDescent="0.3">
      <c r="A2665" s="502" t="s">
        <v>4226</v>
      </c>
      <c r="B2665" s="503" t="s">
        <v>4227</v>
      </c>
      <c r="C2665" s="514">
        <v>0</v>
      </c>
      <c r="D2665" s="514">
        <v>0</v>
      </c>
      <c r="E2665" s="514">
        <v>0</v>
      </c>
      <c r="F2665" s="514">
        <v>0</v>
      </c>
      <c r="G2665" s="514">
        <v>0</v>
      </c>
      <c r="H2665" s="514">
        <v>0</v>
      </c>
      <c r="I2665" s="514">
        <v>0</v>
      </c>
      <c r="J2665" s="514">
        <v>0</v>
      </c>
      <c r="K2665" s="514">
        <v>0</v>
      </c>
      <c r="L2665" s="514">
        <v>0</v>
      </c>
      <c r="M2665" s="514">
        <v>0</v>
      </c>
      <c r="N2665" s="514">
        <v>0</v>
      </c>
      <c r="O2665" s="499"/>
      <c r="P2665" s="499"/>
      <c r="Q2665" s="499"/>
    </row>
    <row r="2666" spans="1:17" ht="14.4" x14ac:dyDescent="0.3">
      <c r="A2666" s="502" t="s">
        <v>4228</v>
      </c>
      <c r="B2666" s="503" t="s">
        <v>4229</v>
      </c>
      <c r="C2666" s="514">
        <v>0</v>
      </c>
      <c r="D2666" s="514">
        <v>0</v>
      </c>
      <c r="E2666" s="514">
        <v>0</v>
      </c>
      <c r="F2666" s="514">
        <v>0</v>
      </c>
      <c r="G2666" s="514">
        <v>0</v>
      </c>
      <c r="H2666" s="514">
        <v>0</v>
      </c>
      <c r="I2666" s="514">
        <v>0</v>
      </c>
      <c r="J2666" s="514">
        <v>0</v>
      </c>
      <c r="K2666" s="514">
        <v>0</v>
      </c>
      <c r="L2666" s="514">
        <v>0</v>
      </c>
      <c r="M2666" s="514">
        <v>0</v>
      </c>
      <c r="N2666" s="514">
        <v>0</v>
      </c>
      <c r="O2666" s="499"/>
      <c r="P2666" s="499"/>
      <c r="Q2666" s="499"/>
    </row>
    <row r="2667" spans="1:17" ht="14.4" x14ac:dyDescent="0.3">
      <c r="A2667" s="502" t="s">
        <v>4230</v>
      </c>
      <c r="B2667" s="503" t="s">
        <v>4231</v>
      </c>
      <c r="C2667" s="514">
        <v>0</v>
      </c>
      <c r="D2667" s="514">
        <v>0</v>
      </c>
      <c r="E2667" s="514">
        <v>0</v>
      </c>
      <c r="F2667" s="514">
        <v>0</v>
      </c>
      <c r="G2667" s="514">
        <v>0</v>
      </c>
      <c r="H2667" s="514">
        <v>0</v>
      </c>
      <c r="I2667" s="514">
        <v>0</v>
      </c>
      <c r="J2667" s="514">
        <v>0</v>
      </c>
      <c r="K2667" s="514">
        <v>0</v>
      </c>
      <c r="L2667" s="514">
        <v>0</v>
      </c>
      <c r="M2667" s="514">
        <v>0</v>
      </c>
      <c r="N2667" s="514">
        <v>0</v>
      </c>
      <c r="O2667" s="499"/>
      <c r="P2667" s="499"/>
      <c r="Q2667" s="499"/>
    </row>
    <row r="2668" spans="1:17" ht="14.4" x14ac:dyDescent="0.3">
      <c r="A2668" s="502" t="s">
        <v>4232</v>
      </c>
      <c r="B2668" s="503" t="s">
        <v>1484</v>
      </c>
      <c r="C2668" s="514">
        <v>863284.78</v>
      </c>
      <c r="D2668" s="514">
        <v>863284.78</v>
      </c>
      <c r="E2668" s="514">
        <v>1212839.8600000001</v>
      </c>
      <c r="F2668" s="514">
        <v>863284.78</v>
      </c>
      <c r="G2668" s="514">
        <v>863284.78</v>
      </c>
      <c r="H2668" s="514">
        <v>1212839.8600000001</v>
      </c>
      <c r="I2668" s="514">
        <v>863284.78</v>
      </c>
      <c r="J2668" s="514">
        <v>863284.78</v>
      </c>
      <c r="K2668" s="514">
        <v>1212839.8600000001</v>
      </c>
      <c r="L2668" s="514">
        <v>863284.78</v>
      </c>
      <c r="M2668" s="514">
        <v>863284.78</v>
      </c>
      <c r="N2668" s="514">
        <v>1212839.8600000001</v>
      </c>
      <c r="O2668" s="499"/>
      <c r="P2668" s="499"/>
      <c r="Q2668" s="499"/>
    </row>
    <row r="2669" spans="1:17" ht="14.4" x14ac:dyDescent="0.3">
      <c r="A2669" s="502" t="s">
        <v>4233</v>
      </c>
      <c r="B2669" s="503" t="s">
        <v>4234</v>
      </c>
      <c r="C2669" s="514">
        <v>0</v>
      </c>
      <c r="D2669" s="514">
        <v>0</v>
      </c>
      <c r="E2669" s="514">
        <v>0</v>
      </c>
      <c r="F2669" s="514">
        <v>0</v>
      </c>
      <c r="G2669" s="514">
        <v>0</v>
      </c>
      <c r="H2669" s="514">
        <v>51.88</v>
      </c>
      <c r="I2669" s="514">
        <v>0</v>
      </c>
      <c r="J2669" s="514">
        <v>0</v>
      </c>
      <c r="K2669" s="514">
        <v>0</v>
      </c>
      <c r="L2669" s="514">
        <v>0</v>
      </c>
      <c r="M2669" s="514">
        <v>0</v>
      </c>
      <c r="N2669" s="514">
        <v>51.88</v>
      </c>
      <c r="O2669" s="499"/>
      <c r="P2669" s="499"/>
      <c r="Q2669" s="499"/>
    </row>
    <row r="2670" spans="1:17" ht="14.4" x14ac:dyDescent="0.3">
      <c r="A2670" s="502" t="s">
        <v>4235</v>
      </c>
      <c r="B2670" s="503" t="s">
        <v>4236</v>
      </c>
      <c r="C2670" s="514">
        <v>0</v>
      </c>
      <c r="D2670" s="514">
        <v>0</v>
      </c>
      <c r="E2670" s="514">
        <v>0</v>
      </c>
      <c r="F2670" s="514">
        <v>0</v>
      </c>
      <c r="G2670" s="514">
        <v>0</v>
      </c>
      <c r="H2670" s="514">
        <v>0</v>
      </c>
      <c r="I2670" s="514">
        <v>0</v>
      </c>
      <c r="J2670" s="514">
        <v>0</v>
      </c>
      <c r="K2670" s="514">
        <v>0</v>
      </c>
      <c r="L2670" s="514">
        <v>0</v>
      </c>
      <c r="M2670" s="514">
        <v>0</v>
      </c>
      <c r="N2670" s="514">
        <v>0</v>
      </c>
      <c r="O2670" s="499"/>
      <c r="P2670" s="499"/>
      <c r="Q2670" s="499"/>
    </row>
    <row r="2671" spans="1:17" ht="14.4" x14ac:dyDescent="0.3">
      <c r="A2671" s="502" t="s">
        <v>4237</v>
      </c>
      <c r="B2671" s="503" t="s">
        <v>4238</v>
      </c>
      <c r="C2671" s="514">
        <v>0</v>
      </c>
      <c r="D2671" s="514">
        <v>0</v>
      </c>
      <c r="E2671" s="514">
        <v>0</v>
      </c>
      <c r="F2671" s="514">
        <v>0</v>
      </c>
      <c r="G2671" s="514">
        <v>0</v>
      </c>
      <c r="H2671" s="514">
        <v>0</v>
      </c>
      <c r="I2671" s="514">
        <v>0</v>
      </c>
      <c r="J2671" s="514">
        <v>0</v>
      </c>
      <c r="K2671" s="514">
        <v>0</v>
      </c>
      <c r="L2671" s="514">
        <v>0</v>
      </c>
      <c r="M2671" s="514">
        <v>0</v>
      </c>
      <c r="N2671" s="514">
        <v>0</v>
      </c>
      <c r="O2671" s="499"/>
      <c r="P2671" s="499"/>
      <c r="Q2671" s="499"/>
    </row>
    <row r="2672" spans="1:17" ht="14.4" x14ac:dyDescent="0.3">
      <c r="A2672" s="502" t="s">
        <v>4239</v>
      </c>
      <c r="B2672" s="503" t="s">
        <v>4240</v>
      </c>
      <c r="C2672" s="514">
        <v>0</v>
      </c>
      <c r="D2672" s="514">
        <v>0</v>
      </c>
      <c r="E2672" s="514">
        <v>0</v>
      </c>
      <c r="F2672" s="514">
        <v>0</v>
      </c>
      <c r="G2672" s="514">
        <v>0</v>
      </c>
      <c r="H2672" s="514">
        <v>0</v>
      </c>
      <c r="I2672" s="514">
        <v>0</v>
      </c>
      <c r="J2672" s="514">
        <v>0</v>
      </c>
      <c r="K2672" s="514">
        <v>0</v>
      </c>
      <c r="L2672" s="514">
        <v>0</v>
      </c>
      <c r="M2672" s="514">
        <v>0</v>
      </c>
      <c r="N2672" s="514">
        <v>0</v>
      </c>
      <c r="O2672" s="499"/>
      <c r="P2672" s="499"/>
      <c r="Q2672" s="499"/>
    </row>
    <row r="2673" spans="1:17" ht="14.4" x14ac:dyDescent="0.3">
      <c r="A2673" s="502" t="s">
        <v>4241</v>
      </c>
      <c r="B2673" s="503" t="s">
        <v>4242</v>
      </c>
      <c r="C2673" s="514">
        <v>0</v>
      </c>
      <c r="D2673" s="514">
        <v>0</v>
      </c>
      <c r="E2673" s="514">
        <v>0</v>
      </c>
      <c r="F2673" s="514">
        <v>0</v>
      </c>
      <c r="G2673" s="514">
        <v>0</v>
      </c>
      <c r="H2673" s="514">
        <v>0</v>
      </c>
      <c r="I2673" s="514">
        <v>0</v>
      </c>
      <c r="J2673" s="514">
        <v>0</v>
      </c>
      <c r="K2673" s="514">
        <v>0</v>
      </c>
      <c r="L2673" s="514">
        <v>0</v>
      </c>
      <c r="M2673" s="514">
        <v>0</v>
      </c>
      <c r="N2673" s="514">
        <v>0</v>
      </c>
      <c r="O2673" s="499"/>
      <c r="P2673" s="499"/>
      <c r="Q2673" s="499"/>
    </row>
    <row r="2674" spans="1:17" ht="14.4" x14ac:dyDescent="0.3">
      <c r="A2674" s="502" t="s">
        <v>4243</v>
      </c>
      <c r="B2674" s="503" t="s">
        <v>1486</v>
      </c>
      <c r="C2674" s="514">
        <v>19614.72</v>
      </c>
      <c r="D2674" s="514">
        <v>8563.65</v>
      </c>
      <c r="E2674" s="514">
        <v>6816.15</v>
      </c>
      <c r="F2674" s="514">
        <v>15437.71</v>
      </c>
      <c r="G2674" s="514">
        <v>5911.39</v>
      </c>
      <c r="H2674" s="514">
        <v>1127.98</v>
      </c>
      <c r="I2674" s="514">
        <v>437161.31</v>
      </c>
      <c r="J2674" s="514">
        <v>2434.1799999999998</v>
      </c>
      <c r="K2674" s="514">
        <v>4089.23</v>
      </c>
      <c r="L2674" s="514">
        <v>6458.65</v>
      </c>
      <c r="M2674" s="514">
        <v>6433.39</v>
      </c>
      <c r="N2674" s="514">
        <v>4509.7</v>
      </c>
      <c r="O2674" s="499"/>
      <c r="P2674" s="499"/>
      <c r="Q2674" s="499"/>
    </row>
    <row r="2675" spans="1:17" ht="14.4" x14ac:dyDescent="0.3">
      <c r="A2675" s="502" t="s">
        <v>4244</v>
      </c>
      <c r="B2675" s="503" t="s">
        <v>4245</v>
      </c>
      <c r="C2675" s="514">
        <v>0</v>
      </c>
      <c r="D2675" s="514">
        <v>0</v>
      </c>
      <c r="E2675" s="514">
        <v>0</v>
      </c>
      <c r="F2675" s="514">
        <v>0</v>
      </c>
      <c r="G2675" s="514">
        <v>0</v>
      </c>
      <c r="H2675" s="514">
        <v>0</v>
      </c>
      <c r="I2675" s="514">
        <v>0</v>
      </c>
      <c r="J2675" s="514">
        <v>0</v>
      </c>
      <c r="K2675" s="514">
        <v>0</v>
      </c>
      <c r="L2675" s="514">
        <v>0</v>
      </c>
      <c r="M2675" s="514">
        <v>0</v>
      </c>
      <c r="N2675" s="514">
        <v>0</v>
      </c>
      <c r="O2675" s="499"/>
      <c r="P2675" s="499"/>
      <c r="Q2675" s="499"/>
    </row>
    <row r="2676" spans="1:17" ht="14.4" x14ac:dyDescent="0.3">
      <c r="A2676" s="502" t="s">
        <v>4246</v>
      </c>
      <c r="B2676" s="503" t="s">
        <v>4247</v>
      </c>
      <c r="C2676" s="514">
        <v>0</v>
      </c>
      <c r="D2676" s="514">
        <v>0</v>
      </c>
      <c r="E2676" s="514">
        <v>0</v>
      </c>
      <c r="F2676" s="514">
        <v>0</v>
      </c>
      <c r="G2676" s="514">
        <v>0</v>
      </c>
      <c r="H2676" s="514">
        <v>0</v>
      </c>
      <c r="I2676" s="514">
        <v>0</v>
      </c>
      <c r="J2676" s="514">
        <v>0</v>
      </c>
      <c r="K2676" s="514">
        <v>0</v>
      </c>
      <c r="L2676" s="514">
        <v>0</v>
      </c>
      <c r="M2676" s="514">
        <v>0</v>
      </c>
      <c r="N2676" s="514">
        <v>0</v>
      </c>
      <c r="O2676" s="499"/>
      <c r="P2676" s="499"/>
      <c r="Q2676" s="499"/>
    </row>
    <row r="2677" spans="1:17" ht="14.4" x14ac:dyDescent="0.3">
      <c r="A2677" s="502" t="s">
        <v>4248</v>
      </c>
      <c r="B2677" s="503" t="s">
        <v>1488</v>
      </c>
      <c r="C2677" s="514">
        <v>40000</v>
      </c>
      <c r="D2677" s="514">
        <v>40000</v>
      </c>
      <c r="E2677" s="514">
        <v>40000</v>
      </c>
      <c r="F2677" s="514">
        <v>40000</v>
      </c>
      <c r="G2677" s="514">
        <v>40000</v>
      </c>
      <c r="H2677" s="514">
        <v>40000</v>
      </c>
      <c r="I2677" s="514">
        <v>40000</v>
      </c>
      <c r="J2677" s="514">
        <v>40000</v>
      </c>
      <c r="K2677" s="514">
        <v>40000</v>
      </c>
      <c r="L2677" s="514">
        <v>40000</v>
      </c>
      <c r="M2677" s="514">
        <v>40000</v>
      </c>
      <c r="N2677" s="514">
        <v>40000</v>
      </c>
      <c r="O2677" s="499"/>
      <c r="P2677" s="499"/>
      <c r="Q2677" s="499"/>
    </row>
    <row r="2678" spans="1:17" ht="14.4" x14ac:dyDescent="0.3">
      <c r="A2678" s="502" t="s">
        <v>4249</v>
      </c>
      <c r="B2678" s="503" t="s">
        <v>4250</v>
      </c>
      <c r="C2678" s="514">
        <v>0</v>
      </c>
      <c r="D2678" s="514">
        <v>0</v>
      </c>
      <c r="E2678" s="514">
        <v>0</v>
      </c>
      <c r="F2678" s="514">
        <v>0</v>
      </c>
      <c r="G2678" s="514">
        <v>0</v>
      </c>
      <c r="H2678" s="514">
        <v>0</v>
      </c>
      <c r="I2678" s="514">
        <v>0</v>
      </c>
      <c r="J2678" s="514">
        <v>0</v>
      </c>
      <c r="K2678" s="514">
        <v>0</v>
      </c>
      <c r="L2678" s="514">
        <v>0</v>
      </c>
      <c r="M2678" s="514">
        <v>0</v>
      </c>
      <c r="N2678" s="514">
        <v>0</v>
      </c>
      <c r="O2678" s="499"/>
      <c r="P2678" s="499"/>
      <c r="Q2678" s="499"/>
    </row>
    <row r="2679" spans="1:17" ht="14.4" x14ac:dyDescent="0.3">
      <c r="A2679" s="502" t="s">
        <v>4251</v>
      </c>
      <c r="B2679" s="503" t="s">
        <v>4252</v>
      </c>
      <c r="C2679" s="514">
        <v>0</v>
      </c>
      <c r="D2679" s="514">
        <v>0</v>
      </c>
      <c r="E2679" s="514">
        <v>0</v>
      </c>
      <c r="F2679" s="514">
        <v>0</v>
      </c>
      <c r="G2679" s="514">
        <v>0</v>
      </c>
      <c r="H2679" s="514">
        <v>0</v>
      </c>
      <c r="I2679" s="514">
        <v>0</v>
      </c>
      <c r="J2679" s="514">
        <v>0</v>
      </c>
      <c r="K2679" s="514">
        <v>0</v>
      </c>
      <c r="L2679" s="514">
        <v>0</v>
      </c>
      <c r="M2679" s="514">
        <v>0</v>
      </c>
      <c r="N2679" s="514">
        <v>0</v>
      </c>
      <c r="O2679" s="499"/>
      <c r="P2679" s="499"/>
      <c r="Q2679" s="499"/>
    </row>
    <row r="2680" spans="1:17" ht="14.4" x14ac:dyDescent="0.3">
      <c r="A2680" s="502" t="s">
        <v>4253</v>
      </c>
      <c r="B2680" s="503" t="s">
        <v>4254</v>
      </c>
      <c r="C2680" s="514">
        <v>0</v>
      </c>
      <c r="D2680" s="514">
        <v>0</v>
      </c>
      <c r="E2680" s="514">
        <v>0</v>
      </c>
      <c r="F2680" s="514">
        <v>0</v>
      </c>
      <c r="G2680" s="514">
        <v>0</v>
      </c>
      <c r="H2680" s="514">
        <v>0</v>
      </c>
      <c r="I2680" s="514">
        <v>0</v>
      </c>
      <c r="J2680" s="514">
        <v>0</v>
      </c>
      <c r="K2680" s="514">
        <v>0</v>
      </c>
      <c r="L2680" s="514">
        <v>0</v>
      </c>
      <c r="M2680" s="514">
        <v>0</v>
      </c>
      <c r="N2680" s="514">
        <v>0</v>
      </c>
      <c r="O2680" s="499"/>
      <c r="P2680" s="499"/>
      <c r="Q2680" s="499"/>
    </row>
    <row r="2681" spans="1:17" ht="14.4" x14ac:dyDescent="0.3">
      <c r="A2681" s="502" t="s">
        <v>4255</v>
      </c>
      <c r="B2681" s="503" t="s">
        <v>4256</v>
      </c>
      <c r="C2681" s="514">
        <v>0</v>
      </c>
      <c r="D2681" s="514">
        <v>0</v>
      </c>
      <c r="E2681" s="514">
        <v>0</v>
      </c>
      <c r="F2681" s="514">
        <v>0</v>
      </c>
      <c r="G2681" s="514">
        <v>0</v>
      </c>
      <c r="H2681" s="514">
        <v>0</v>
      </c>
      <c r="I2681" s="514">
        <v>0</v>
      </c>
      <c r="J2681" s="514">
        <v>0</v>
      </c>
      <c r="K2681" s="514">
        <v>0</v>
      </c>
      <c r="L2681" s="514">
        <v>0</v>
      </c>
      <c r="M2681" s="514">
        <v>0</v>
      </c>
      <c r="N2681" s="514">
        <v>0</v>
      </c>
      <c r="O2681" s="499"/>
      <c r="P2681" s="499"/>
      <c r="Q2681" s="499"/>
    </row>
    <row r="2682" spans="1:17" ht="14.4" x14ac:dyDescent="0.3">
      <c r="A2682" s="502" t="s">
        <v>4257</v>
      </c>
      <c r="B2682" s="503" t="s">
        <v>1490</v>
      </c>
      <c r="C2682" s="514">
        <v>34953.53</v>
      </c>
      <c r="D2682" s="514">
        <v>34953.53</v>
      </c>
      <c r="E2682" s="514">
        <v>34953.53</v>
      </c>
      <c r="F2682" s="514">
        <v>34953.53</v>
      </c>
      <c r="G2682" s="514">
        <v>34953.53</v>
      </c>
      <c r="H2682" s="514">
        <v>34953.53</v>
      </c>
      <c r="I2682" s="514">
        <v>34953.53</v>
      </c>
      <c r="J2682" s="514">
        <v>34953.53</v>
      </c>
      <c r="K2682" s="514">
        <v>34953.53</v>
      </c>
      <c r="L2682" s="514">
        <v>34953.53</v>
      </c>
      <c r="M2682" s="514">
        <v>21953.53</v>
      </c>
      <c r="N2682" s="514">
        <v>34953.53</v>
      </c>
      <c r="O2682" s="499"/>
      <c r="P2682" s="499"/>
      <c r="Q2682" s="499"/>
    </row>
    <row r="2683" spans="1:17" ht="14.4" x14ac:dyDescent="0.3">
      <c r="A2683" s="502" t="s">
        <v>4258</v>
      </c>
      <c r="B2683" s="503" t="s">
        <v>4259</v>
      </c>
      <c r="C2683" s="514">
        <v>0</v>
      </c>
      <c r="D2683" s="514">
        <v>0</v>
      </c>
      <c r="E2683" s="514">
        <v>0</v>
      </c>
      <c r="F2683" s="514">
        <v>0</v>
      </c>
      <c r="G2683" s="514">
        <v>0</v>
      </c>
      <c r="H2683" s="514">
        <v>0</v>
      </c>
      <c r="I2683" s="514">
        <v>0</v>
      </c>
      <c r="J2683" s="514">
        <v>0</v>
      </c>
      <c r="K2683" s="514">
        <v>0</v>
      </c>
      <c r="L2683" s="514">
        <v>0</v>
      </c>
      <c r="M2683" s="514">
        <v>0</v>
      </c>
      <c r="N2683" s="514">
        <v>0</v>
      </c>
      <c r="O2683" s="499"/>
      <c r="P2683" s="499"/>
      <c r="Q2683" s="499"/>
    </row>
    <row r="2684" spans="1:17" ht="14.4" x14ac:dyDescent="0.3">
      <c r="A2684" s="502" t="s">
        <v>4260</v>
      </c>
      <c r="B2684" s="503" t="s">
        <v>4261</v>
      </c>
      <c r="C2684" s="514">
        <v>0</v>
      </c>
      <c r="D2684" s="514">
        <v>0</v>
      </c>
      <c r="E2684" s="514">
        <v>0</v>
      </c>
      <c r="F2684" s="514">
        <v>0</v>
      </c>
      <c r="G2684" s="514">
        <v>0</v>
      </c>
      <c r="H2684" s="514">
        <v>0</v>
      </c>
      <c r="I2684" s="514">
        <v>0</v>
      </c>
      <c r="J2684" s="514">
        <v>0</v>
      </c>
      <c r="K2684" s="514">
        <v>0</v>
      </c>
      <c r="L2684" s="514">
        <v>0</v>
      </c>
      <c r="M2684" s="514">
        <v>0</v>
      </c>
      <c r="N2684" s="514">
        <v>0</v>
      </c>
      <c r="O2684" s="499"/>
      <c r="P2684" s="499"/>
      <c r="Q2684" s="499"/>
    </row>
    <row r="2685" spans="1:17" ht="14.4" x14ac:dyDescent="0.3">
      <c r="A2685" s="502" t="s">
        <v>4262</v>
      </c>
      <c r="B2685" s="503" t="s">
        <v>4263</v>
      </c>
      <c r="C2685" s="514">
        <v>0</v>
      </c>
      <c r="D2685" s="514">
        <v>0</v>
      </c>
      <c r="E2685" s="514">
        <v>0</v>
      </c>
      <c r="F2685" s="514">
        <v>0</v>
      </c>
      <c r="G2685" s="514">
        <v>0</v>
      </c>
      <c r="H2685" s="514">
        <v>0</v>
      </c>
      <c r="I2685" s="514">
        <v>0</v>
      </c>
      <c r="J2685" s="514">
        <v>0</v>
      </c>
      <c r="K2685" s="514">
        <v>0</v>
      </c>
      <c r="L2685" s="514">
        <v>0</v>
      </c>
      <c r="M2685" s="514">
        <v>0</v>
      </c>
      <c r="N2685" s="514">
        <v>0</v>
      </c>
      <c r="O2685" s="499"/>
      <c r="P2685" s="499"/>
      <c r="Q2685" s="499"/>
    </row>
    <row r="2686" spans="1:17" ht="14.4" x14ac:dyDescent="0.3">
      <c r="A2686" s="502" t="s">
        <v>4264</v>
      </c>
      <c r="B2686" s="503" t="s">
        <v>4265</v>
      </c>
      <c r="C2686" s="514">
        <v>0</v>
      </c>
      <c r="D2686" s="514">
        <v>0</v>
      </c>
      <c r="E2686" s="514">
        <v>0</v>
      </c>
      <c r="F2686" s="514">
        <v>0</v>
      </c>
      <c r="G2686" s="514">
        <v>0</v>
      </c>
      <c r="H2686" s="514">
        <v>0</v>
      </c>
      <c r="I2686" s="514">
        <v>0</v>
      </c>
      <c r="J2686" s="514">
        <v>0</v>
      </c>
      <c r="K2686" s="514">
        <v>0</v>
      </c>
      <c r="L2686" s="514">
        <v>0</v>
      </c>
      <c r="M2686" s="514">
        <v>0</v>
      </c>
      <c r="N2686" s="514">
        <v>0</v>
      </c>
      <c r="O2686" s="499"/>
      <c r="P2686" s="499"/>
      <c r="Q2686" s="499"/>
    </row>
    <row r="2687" spans="1:17" ht="14.4" x14ac:dyDescent="0.3">
      <c r="A2687" s="502" t="s">
        <v>4266</v>
      </c>
      <c r="B2687" s="503" t="s">
        <v>4267</v>
      </c>
      <c r="C2687" s="514">
        <v>0</v>
      </c>
      <c r="D2687" s="514">
        <v>0</v>
      </c>
      <c r="E2687" s="514">
        <v>0</v>
      </c>
      <c r="F2687" s="514">
        <v>0</v>
      </c>
      <c r="G2687" s="514">
        <v>0</v>
      </c>
      <c r="H2687" s="514">
        <v>0</v>
      </c>
      <c r="I2687" s="514">
        <v>0</v>
      </c>
      <c r="J2687" s="514">
        <v>0</v>
      </c>
      <c r="K2687" s="514">
        <v>0</v>
      </c>
      <c r="L2687" s="514">
        <v>0</v>
      </c>
      <c r="M2687" s="514">
        <v>0</v>
      </c>
      <c r="N2687" s="514">
        <v>0</v>
      </c>
      <c r="O2687" s="499"/>
      <c r="P2687" s="499"/>
      <c r="Q2687" s="499"/>
    </row>
    <row r="2688" spans="1:17" ht="14.4" x14ac:dyDescent="0.3">
      <c r="A2688" s="502" t="s">
        <v>4268</v>
      </c>
      <c r="B2688" s="503" t="s">
        <v>4269</v>
      </c>
      <c r="C2688" s="514">
        <v>0</v>
      </c>
      <c r="D2688" s="514">
        <v>0</v>
      </c>
      <c r="E2688" s="514">
        <v>0</v>
      </c>
      <c r="F2688" s="514">
        <v>0</v>
      </c>
      <c r="G2688" s="514">
        <v>0</v>
      </c>
      <c r="H2688" s="514">
        <v>0</v>
      </c>
      <c r="I2688" s="514">
        <v>0</v>
      </c>
      <c r="J2688" s="514">
        <v>0</v>
      </c>
      <c r="K2688" s="514">
        <v>0</v>
      </c>
      <c r="L2688" s="514">
        <v>0</v>
      </c>
      <c r="M2688" s="514">
        <v>0</v>
      </c>
      <c r="N2688" s="514">
        <v>0</v>
      </c>
      <c r="O2688" s="499"/>
      <c r="P2688" s="499"/>
      <c r="Q2688" s="499"/>
    </row>
    <row r="2689" spans="1:17" ht="14.4" x14ac:dyDescent="0.3">
      <c r="A2689" s="502" t="s">
        <v>4270</v>
      </c>
      <c r="B2689" s="503" t="s">
        <v>4271</v>
      </c>
      <c r="C2689" s="514">
        <v>0</v>
      </c>
      <c r="D2689" s="514">
        <v>0</v>
      </c>
      <c r="E2689" s="514">
        <v>0</v>
      </c>
      <c r="F2689" s="514">
        <v>0</v>
      </c>
      <c r="G2689" s="514">
        <v>0</v>
      </c>
      <c r="H2689" s="514">
        <v>0</v>
      </c>
      <c r="I2689" s="514">
        <v>0</v>
      </c>
      <c r="J2689" s="514">
        <v>0</v>
      </c>
      <c r="K2689" s="514">
        <v>0</v>
      </c>
      <c r="L2689" s="514">
        <v>0</v>
      </c>
      <c r="M2689" s="514">
        <v>0</v>
      </c>
      <c r="N2689" s="514">
        <v>0</v>
      </c>
      <c r="O2689" s="499"/>
      <c r="P2689" s="499"/>
      <c r="Q2689" s="499"/>
    </row>
    <row r="2690" spans="1:17" ht="14.4" x14ac:dyDescent="0.3">
      <c r="A2690" s="502" t="s">
        <v>4272</v>
      </c>
      <c r="B2690" s="503" t="s">
        <v>4273</v>
      </c>
      <c r="C2690" s="514">
        <v>0</v>
      </c>
      <c r="D2690" s="514">
        <v>0</v>
      </c>
      <c r="E2690" s="514">
        <v>0</v>
      </c>
      <c r="F2690" s="514">
        <v>0</v>
      </c>
      <c r="G2690" s="514">
        <v>0</v>
      </c>
      <c r="H2690" s="514">
        <v>0</v>
      </c>
      <c r="I2690" s="514">
        <v>0</v>
      </c>
      <c r="J2690" s="514">
        <v>0</v>
      </c>
      <c r="K2690" s="514">
        <v>0</v>
      </c>
      <c r="L2690" s="514">
        <v>0</v>
      </c>
      <c r="M2690" s="514">
        <v>0</v>
      </c>
      <c r="N2690" s="514">
        <v>0</v>
      </c>
      <c r="O2690" s="499"/>
      <c r="P2690" s="499"/>
      <c r="Q2690" s="499"/>
    </row>
    <row r="2691" spans="1:17" ht="14.4" x14ac:dyDescent="0.3">
      <c r="A2691" s="502" t="s">
        <v>4274</v>
      </c>
      <c r="B2691" s="503" t="s">
        <v>4275</v>
      </c>
      <c r="C2691" s="514">
        <v>0</v>
      </c>
      <c r="D2691" s="514">
        <v>0</v>
      </c>
      <c r="E2691" s="514">
        <v>0</v>
      </c>
      <c r="F2691" s="514">
        <v>0</v>
      </c>
      <c r="G2691" s="514">
        <v>0</v>
      </c>
      <c r="H2691" s="514">
        <v>0</v>
      </c>
      <c r="I2691" s="514">
        <v>0</v>
      </c>
      <c r="J2691" s="514">
        <v>0</v>
      </c>
      <c r="K2691" s="514">
        <v>0</v>
      </c>
      <c r="L2691" s="514">
        <v>0</v>
      </c>
      <c r="M2691" s="514">
        <v>0</v>
      </c>
      <c r="N2691" s="514">
        <v>0</v>
      </c>
      <c r="O2691" s="499"/>
      <c r="P2691" s="499"/>
      <c r="Q2691" s="499"/>
    </row>
    <row r="2692" spans="1:17" ht="14.4" x14ac:dyDescent="0.3">
      <c r="A2692" s="502" t="s">
        <v>4276</v>
      </c>
      <c r="B2692" s="503" t="s">
        <v>4277</v>
      </c>
      <c r="C2692" s="514">
        <v>0</v>
      </c>
      <c r="D2692" s="514">
        <v>0</v>
      </c>
      <c r="E2692" s="514">
        <v>0</v>
      </c>
      <c r="F2692" s="514">
        <v>0</v>
      </c>
      <c r="G2692" s="514">
        <v>0</v>
      </c>
      <c r="H2692" s="514">
        <v>0</v>
      </c>
      <c r="I2692" s="514">
        <v>0</v>
      </c>
      <c r="J2692" s="514">
        <v>0</v>
      </c>
      <c r="K2692" s="514">
        <v>0</v>
      </c>
      <c r="L2692" s="514">
        <v>0</v>
      </c>
      <c r="M2692" s="514">
        <v>0</v>
      </c>
      <c r="N2692" s="514">
        <v>0</v>
      </c>
      <c r="O2692" s="499"/>
      <c r="P2692" s="499"/>
      <c r="Q2692" s="499"/>
    </row>
    <row r="2693" spans="1:17" ht="14.4" x14ac:dyDescent="0.3">
      <c r="A2693" s="502" t="s">
        <v>4278</v>
      </c>
      <c r="B2693" s="503" t="s">
        <v>4279</v>
      </c>
      <c r="C2693" s="514">
        <v>0</v>
      </c>
      <c r="D2693" s="514">
        <v>0</v>
      </c>
      <c r="E2693" s="514">
        <v>0</v>
      </c>
      <c r="F2693" s="514">
        <v>0</v>
      </c>
      <c r="G2693" s="514">
        <v>0</v>
      </c>
      <c r="H2693" s="514">
        <v>0</v>
      </c>
      <c r="I2693" s="514">
        <v>0</v>
      </c>
      <c r="J2693" s="514">
        <v>0</v>
      </c>
      <c r="K2693" s="514">
        <v>0</v>
      </c>
      <c r="L2693" s="514">
        <v>0</v>
      </c>
      <c r="M2693" s="514">
        <v>0</v>
      </c>
      <c r="N2693" s="514">
        <v>0</v>
      </c>
      <c r="O2693" s="499"/>
      <c r="P2693" s="499"/>
      <c r="Q2693" s="499"/>
    </row>
    <row r="2694" spans="1:17" ht="14.4" x14ac:dyDescent="0.3">
      <c r="A2694" s="502" t="s">
        <v>4280</v>
      </c>
      <c r="B2694" s="503" t="s">
        <v>4281</v>
      </c>
      <c r="C2694" s="514">
        <v>0</v>
      </c>
      <c r="D2694" s="514">
        <v>0</v>
      </c>
      <c r="E2694" s="514">
        <v>0</v>
      </c>
      <c r="F2694" s="514">
        <v>0</v>
      </c>
      <c r="G2694" s="514">
        <v>0</v>
      </c>
      <c r="H2694" s="514">
        <v>0</v>
      </c>
      <c r="I2694" s="514">
        <v>0</v>
      </c>
      <c r="J2694" s="514">
        <v>0</v>
      </c>
      <c r="K2694" s="514">
        <v>0</v>
      </c>
      <c r="L2694" s="514">
        <v>0</v>
      </c>
      <c r="M2694" s="514">
        <v>0</v>
      </c>
      <c r="N2694" s="514">
        <v>0</v>
      </c>
      <c r="O2694" s="499"/>
      <c r="P2694" s="499"/>
      <c r="Q2694" s="499"/>
    </row>
    <row r="2695" spans="1:17" ht="14.4" x14ac:dyDescent="0.3">
      <c r="A2695" s="502" t="s">
        <v>4282</v>
      </c>
      <c r="B2695" s="503" t="s">
        <v>4283</v>
      </c>
      <c r="C2695" s="514">
        <v>0</v>
      </c>
      <c r="D2695" s="514">
        <v>0</v>
      </c>
      <c r="E2695" s="514">
        <v>0</v>
      </c>
      <c r="F2695" s="514">
        <v>0</v>
      </c>
      <c r="G2695" s="514">
        <v>0</v>
      </c>
      <c r="H2695" s="514">
        <v>0</v>
      </c>
      <c r="I2695" s="514">
        <v>0</v>
      </c>
      <c r="J2695" s="514">
        <v>0</v>
      </c>
      <c r="K2695" s="514">
        <v>0</v>
      </c>
      <c r="L2695" s="514">
        <v>0</v>
      </c>
      <c r="M2695" s="514">
        <v>0</v>
      </c>
      <c r="N2695" s="514">
        <v>0</v>
      </c>
      <c r="O2695" s="499"/>
      <c r="P2695" s="499"/>
      <c r="Q2695" s="499"/>
    </row>
    <row r="2696" spans="1:17" ht="14.4" x14ac:dyDescent="0.3">
      <c r="A2696" s="502" t="s">
        <v>4284</v>
      </c>
      <c r="B2696" s="503" t="s">
        <v>4285</v>
      </c>
      <c r="C2696" s="514">
        <v>0</v>
      </c>
      <c r="D2696" s="514">
        <v>0</v>
      </c>
      <c r="E2696" s="514">
        <v>0</v>
      </c>
      <c r="F2696" s="514">
        <v>0</v>
      </c>
      <c r="G2696" s="514">
        <v>0</v>
      </c>
      <c r="H2696" s="514">
        <v>0</v>
      </c>
      <c r="I2696" s="514">
        <v>0</v>
      </c>
      <c r="J2696" s="514">
        <v>0</v>
      </c>
      <c r="K2696" s="514">
        <v>0</v>
      </c>
      <c r="L2696" s="514">
        <v>0</v>
      </c>
      <c r="M2696" s="514">
        <v>0</v>
      </c>
      <c r="N2696" s="514">
        <v>0</v>
      </c>
      <c r="O2696" s="499"/>
      <c r="P2696" s="499"/>
      <c r="Q2696" s="499"/>
    </row>
    <row r="2697" spans="1:17" ht="14.4" x14ac:dyDescent="0.3">
      <c r="A2697" s="502" t="s">
        <v>4286</v>
      </c>
      <c r="B2697" s="503" t="s">
        <v>4287</v>
      </c>
      <c r="C2697" s="514">
        <v>0</v>
      </c>
      <c r="D2697" s="514">
        <v>0</v>
      </c>
      <c r="E2697" s="514">
        <v>0</v>
      </c>
      <c r="F2697" s="514">
        <v>0</v>
      </c>
      <c r="G2697" s="514">
        <v>0</v>
      </c>
      <c r="H2697" s="514">
        <v>0</v>
      </c>
      <c r="I2697" s="514">
        <v>0</v>
      </c>
      <c r="J2697" s="514">
        <v>0</v>
      </c>
      <c r="K2697" s="514">
        <v>0</v>
      </c>
      <c r="L2697" s="514">
        <v>0</v>
      </c>
      <c r="M2697" s="514">
        <v>0</v>
      </c>
      <c r="N2697" s="514">
        <v>0</v>
      </c>
      <c r="O2697" s="499"/>
      <c r="P2697" s="499"/>
      <c r="Q2697" s="499"/>
    </row>
    <row r="2698" spans="1:17" ht="14.4" x14ac:dyDescent="0.3">
      <c r="A2698" s="502" t="s">
        <v>4288</v>
      </c>
      <c r="B2698" s="503" t="s">
        <v>4289</v>
      </c>
      <c r="C2698" s="514">
        <v>0</v>
      </c>
      <c r="D2698" s="514">
        <v>0</v>
      </c>
      <c r="E2698" s="514">
        <v>0</v>
      </c>
      <c r="F2698" s="514">
        <v>0</v>
      </c>
      <c r="G2698" s="514">
        <v>0</v>
      </c>
      <c r="H2698" s="514">
        <v>0</v>
      </c>
      <c r="I2698" s="514">
        <v>0</v>
      </c>
      <c r="J2698" s="514">
        <v>0</v>
      </c>
      <c r="K2698" s="514">
        <v>0</v>
      </c>
      <c r="L2698" s="514">
        <v>0</v>
      </c>
      <c r="M2698" s="514">
        <v>0</v>
      </c>
      <c r="N2698" s="514">
        <v>0</v>
      </c>
      <c r="O2698" s="499"/>
      <c r="P2698" s="499"/>
      <c r="Q2698" s="499"/>
    </row>
    <row r="2699" spans="1:17" ht="14.4" x14ac:dyDescent="0.3">
      <c r="A2699" s="502" t="s">
        <v>4290</v>
      </c>
      <c r="B2699" s="503" t="s">
        <v>4291</v>
      </c>
      <c r="C2699" s="514">
        <v>0</v>
      </c>
      <c r="D2699" s="514">
        <v>0</v>
      </c>
      <c r="E2699" s="514">
        <v>0</v>
      </c>
      <c r="F2699" s="514">
        <v>0</v>
      </c>
      <c r="G2699" s="514">
        <v>0</v>
      </c>
      <c r="H2699" s="514">
        <v>0</v>
      </c>
      <c r="I2699" s="514">
        <v>0</v>
      </c>
      <c r="J2699" s="514">
        <v>0</v>
      </c>
      <c r="K2699" s="514">
        <v>0</v>
      </c>
      <c r="L2699" s="514">
        <v>0</v>
      </c>
      <c r="M2699" s="514">
        <v>0</v>
      </c>
      <c r="N2699" s="514">
        <v>0</v>
      </c>
      <c r="O2699" s="499"/>
      <c r="P2699" s="499"/>
      <c r="Q2699" s="499"/>
    </row>
    <row r="2700" spans="1:17" ht="14.4" x14ac:dyDescent="0.3">
      <c r="A2700" s="502" t="s">
        <v>4292</v>
      </c>
      <c r="B2700" s="503" t="s">
        <v>4293</v>
      </c>
      <c r="C2700" s="514">
        <v>0</v>
      </c>
      <c r="D2700" s="514">
        <v>0</v>
      </c>
      <c r="E2700" s="514">
        <v>0</v>
      </c>
      <c r="F2700" s="514">
        <v>0</v>
      </c>
      <c r="G2700" s="514">
        <v>0</v>
      </c>
      <c r="H2700" s="514">
        <v>0</v>
      </c>
      <c r="I2700" s="514">
        <v>0</v>
      </c>
      <c r="J2700" s="514">
        <v>0</v>
      </c>
      <c r="K2700" s="514">
        <v>0</v>
      </c>
      <c r="L2700" s="514">
        <v>0</v>
      </c>
      <c r="M2700" s="514">
        <v>0</v>
      </c>
      <c r="N2700" s="514">
        <v>0</v>
      </c>
      <c r="O2700" s="499"/>
      <c r="P2700" s="499"/>
      <c r="Q2700" s="499"/>
    </row>
    <row r="2701" spans="1:17" ht="14.4" x14ac:dyDescent="0.3">
      <c r="A2701" s="502" t="s">
        <v>4294</v>
      </c>
      <c r="B2701" s="503" t="s">
        <v>4295</v>
      </c>
      <c r="C2701" s="514">
        <v>0</v>
      </c>
      <c r="D2701" s="514">
        <v>0</v>
      </c>
      <c r="E2701" s="514">
        <v>0</v>
      </c>
      <c r="F2701" s="514">
        <v>0</v>
      </c>
      <c r="G2701" s="514">
        <v>0</v>
      </c>
      <c r="H2701" s="514">
        <v>0</v>
      </c>
      <c r="I2701" s="514">
        <v>0</v>
      </c>
      <c r="J2701" s="514">
        <v>0</v>
      </c>
      <c r="K2701" s="514">
        <v>0</v>
      </c>
      <c r="L2701" s="514">
        <v>0</v>
      </c>
      <c r="M2701" s="514">
        <v>0</v>
      </c>
      <c r="N2701" s="514">
        <v>0</v>
      </c>
      <c r="O2701" s="499"/>
      <c r="P2701" s="499"/>
      <c r="Q2701" s="499"/>
    </row>
    <row r="2702" spans="1:17" ht="14.4" x14ac:dyDescent="0.3">
      <c r="A2702" s="502" t="s">
        <v>4296</v>
      </c>
      <c r="B2702" s="503" t="s">
        <v>4297</v>
      </c>
      <c r="C2702" s="514">
        <v>0</v>
      </c>
      <c r="D2702" s="514">
        <v>0</v>
      </c>
      <c r="E2702" s="514">
        <v>0</v>
      </c>
      <c r="F2702" s="514">
        <v>0</v>
      </c>
      <c r="G2702" s="514">
        <v>0</v>
      </c>
      <c r="H2702" s="514">
        <v>0</v>
      </c>
      <c r="I2702" s="514">
        <v>0</v>
      </c>
      <c r="J2702" s="514">
        <v>0</v>
      </c>
      <c r="K2702" s="514">
        <v>0</v>
      </c>
      <c r="L2702" s="514">
        <v>0</v>
      </c>
      <c r="M2702" s="514">
        <v>0</v>
      </c>
      <c r="N2702" s="514">
        <v>0</v>
      </c>
      <c r="O2702" s="499"/>
      <c r="P2702" s="499"/>
      <c r="Q2702" s="499"/>
    </row>
    <row r="2703" spans="1:17" ht="14.4" x14ac:dyDescent="0.3">
      <c r="A2703" s="502" t="s">
        <v>4298</v>
      </c>
      <c r="B2703" s="503" t="s">
        <v>4299</v>
      </c>
      <c r="C2703" s="514">
        <v>0</v>
      </c>
      <c r="D2703" s="514">
        <v>0</v>
      </c>
      <c r="E2703" s="514">
        <v>0</v>
      </c>
      <c r="F2703" s="514">
        <v>0</v>
      </c>
      <c r="G2703" s="514">
        <v>0</v>
      </c>
      <c r="H2703" s="514">
        <v>0</v>
      </c>
      <c r="I2703" s="514">
        <v>0</v>
      </c>
      <c r="J2703" s="514">
        <v>0</v>
      </c>
      <c r="K2703" s="514">
        <v>0</v>
      </c>
      <c r="L2703" s="514">
        <v>0</v>
      </c>
      <c r="M2703" s="514">
        <v>0</v>
      </c>
      <c r="N2703" s="514">
        <v>0</v>
      </c>
      <c r="O2703" s="499"/>
      <c r="P2703" s="499"/>
      <c r="Q2703" s="499"/>
    </row>
    <row r="2704" spans="1:17" ht="14.4" x14ac:dyDescent="0.3">
      <c r="A2704" s="502" t="s">
        <v>4300</v>
      </c>
      <c r="B2704" s="503" t="s">
        <v>4301</v>
      </c>
      <c r="C2704" s="514">
        <v>0</v>
      </c>
      <c r="D2704" s="514">
        <v>0</v>
      </c>
      <c r="E2704" s="514">
        <v>0</v>
      </c>
      <c r="F2704" s="514">
        <v>0</v>
      </c>
      <c r="G2704" s="514">
        <v>0</v>
      </c>
      <c r="H2704" s="514">
        <v>0</v>
      </c>
      <c r="I2704" s="514">
        <v>0</v>
      </c>
      <c r="J2704" s="514">
        <v>0</v>
      </c>
      <c r="K2704" s="514">
        <v>0</v>
      </c>
      <c r="L2704" s="514">
        <v>0</v>
      </c>
      <c r="M2704" s="514">
        <v>0</v>
      </c>
      <c r="N2704" s="514">
        <v>0</v>
      </c>
      <c r="O2704" s="499"/>
      <c r="P2704" s="499"/>
      <c r="Q2704" s="499"/>
    </row>
    <row r="2705" spans="1:17" ht="14.4" x14ac:dyDescent="0.3">
      <c r="A2705" s="502" t="s">
        <v>4302</v>
      </c>
      <c r="B2705" s="503" t="s">
        <v>4303</v>
      </c>
      <c r="C2705" s="514">
        <v>0</v>
      </c>
      <c r="D2705" s="514">
        <v>0</v>
      </c>
      <c r="E2705" s="514">
        <v>0</v>
      </c>
      <c r="F2705" s="514">
        <v>0</v>
      </c>
      <c r="G2705" s="514">
        <v>0</v>
      </c>
      <c r="H2705" s="514">
        <v>0</v>
      </c>
      <c r="I2705" s="514">
        <v>0</v>
      </c>
      <c r="J2705" s="514">
        <v>0</v>
      </c>
      <c r="K2705" s="514">
        <v>0</v>
      </c>
      <c r="L2705" s="514">
        <v>0</v>
      </c>
      <c r="M2705" s="514">
        <v>0</v>
      </c>
      <c r="N2705" s="514">
        <v>0</v>
      </c>
      <c r="O2705" s="499"/>
      <c r="P2705" s="499"/>
      <c r="Q2705" s="499"/>
    </row>
    <row r="2706" spans="1:17" ht="14.4" x14ac:dyDescent="0.3">
      <c r="A2706" s="502" t="s">
        <v>4304</v>
      </c>
      <c r="B2706" s="503" t="s">
        <v>4305</v>
      </c>
      <c r="C2706" s="514">
        <v>0</v>
      </c>
      <c r="D2706" s="514">
        <v>0</v>
      </c>
      <c r="E2706" s="514">
        <v>0</v>
      </c>
      <c r="F2706" s="514">
        <v>0</v>
      </c>
      <c r="G2706" s="514">
        <v>0</v>
      </c>
      <c r="H2706" s="514">
        <v>0</v>
      </c>
      <c r="I2706" s="514">
        <v>0</v>
      </c>
      <c r="J2706" s="514">
        <v>0</v>
      </c>
      <c r="K2706" s="514">
        <v>0</v>
      </c>
      <c r="L2706" s="514">
        <v>0</v>
      </c>
      <c r="M2706" s="514">
        <v>0</v>
      </c>
      <c r="N2706" s="514">
        <v>0</v>
      </c>
      <c r="O2706" s="499"/>
      <c r="P2706" s="499"/>
      <c r="Q2706" s="499"/>
    </row>
    <row r="2707" spans="1:17" ht="14.4" x14ac:dyDescent="0.3">
      <c r="A2707" s="502" t="s">
        <v>4306</v>
      </c>
      <c r="B2707" s="503" t="s">
        <v>4307</v>
      </c>
      <c r="C2707" s="514">
        <v>0</v>
      </c>
      <c r="D2707" s="514">
        <v>0</v>
      </c>
      <c r="E2707" s="514">
        <v>0</v>
      </c>
      <c r="F2707" s="514">
        <v>0</v>
      </c>
      <c r="G2707" s="514">
        <v>0</v>
      </c>
      <c r="H2707" s="514">
        <v>0</v>
      </c>
      <c r="I2707" s="514">
        <v>0</v>
      </c>
      <c r="J2707" s="514">
        <v>0</v>
      </c>
      <c r="K2707" s="514">
        <v>0</v>
      </c>
      <c r="L2707" s="514">
        <v>0</v>
      </c>
      <c r="M2707" s="514">
        <v>0</v>
      </c>
      <c r="N2707" s="514">
        <v>0</v>
      </c>
      <c r="O2707" s="499"/>
      <c r="P2707" s="499"/>
      <c r="Q2707" s="499"/>
    </row>
    <row r="2708" spans="1:17" ht="14.4" x14ac:dyDescent="0.3">
      <c r="A2708" s="502" t="s">
        <v>4308</v>
      </c>
      <c r="B2708" s="503" t="s">
        <v>4309</v>
      </c>
      <c r="C2708" s="514">
        <v>0</v>
      </c>
      <c r="D2708" s="514">
        <v>0</v>
      </c>
      <c r="E2708" s="514">
        <v>0</v>
      </c>
      <c r="F2708" s="514">
        <v>0</v>
      </c>
      <c r="G2708" s="514">
        <v>0</v>
      </c>
      <c r="H2708" s="514">
        <v>0</v>
      </c>
      <c r="I2708" s="514">
        <v>0</v>
      </c>
      <c r="J2708" s="514">
        <v>0</v>
      </c>
      <c r="K2708" s="514">
        <v>0</v>
      </c>
      <c r="L2708" s="514">
        <v>0</v>
      </c>
      <c r="M2708" s="514">
        <v>0</v>
      </c>
      <c r="N2708" s="514">
        <v>0</v>
      </c>
      <c r="O2708" s="499"/>
      <c r="P2708" s="499"/>
      <c r="Q2708" s="499"/>
    </row>
    <row r="2709" spans="1:17" ht="14.4" x14ac:dyDescent="0.3">
      <c r="A2709" s="502" t="s">
        <v>4310</v>
      </c>
      <c r="B2709" s="503" t="s">
        <v>4311</v>
      </c>
      <c r="C2709" s="514">
        <v>0</v>
      </c>
      <c r="D2709" s="514">
        <v>0</v>
      </c>
      <c r="E2709" s="514">
        <v>0</v>
      </c>
      <c r="F2709" s="514">
        <v>0</v>
      </c>
      <c r="G2709" s="514">
        <v>0</v>
      </c>
      <c r="H2709" s="514">
        <v>0</v>
      </c>
      <c r="I2709" s="514">
        <v>0</v>
      </c>
      <c r="J2709" s="514">
        <v>0</v>
      </c>
      <c r="K2709" s="514">
        <v>0</v>
      </c>
      <c r="L2709" s="514">
        <v>0</v>
      </c>
      <c r="M2709" s="514">
        <v>0</v>
      </c>
      <c r="N2709" s="514">
        <v>0</v>
      </c>
      <c r="O2709" s="499"/>
      <c r="P2709" s="499"/>
      <c r="Q2709" s="499"/>
    </row>
    <row r="2710" spans="1:17" ht="14.4" x14ac:dyDescent="0.3">
      <c r="A2710" s="502" t="s">
        <v>4312</v>
      </c>
      <c r="B2710" s="503" t="s">
        <v>4313</v>
      </c>
      <c r="C2710" s="514">
        <v>0</v>
      </c>
      <c r="D2710" s="514">
        <v>0</v>
      </c>
      <c r="E2710" s="514">
        <v>0</v>
      </c>
      <c r="F2710" s="514">
        <v>0</v>
      </c>
      <c r="G2710" s="514">
        <v>0</v>
      </c>
      <c r="H2710" s="514">
        <v>0</v>
      </c>
      <c r="I2710" s="514">
        <v>0</v>
      </c>
      <c r="J2710" s="514">
        <v>0</v>
      </c>
      <c r="K2710" s="514">
        <v>0</v>
      </c>
      <c r="L2710" s="514">
        <v>0</v>
      </c>
      <c r="M2710" s="514">
        <v>0</v>
      </c>
      <c r="N2710" s="514">
        <v>0</v>
      </c>
      <c r="O2710" s="499"/>
      <c r="P2710" s="499"/>
      <c r="Q2710" s="499"/>
    </row>
    <row r="2711" spans="1:17" ht="14.4" x14ac:dyDescent="0.3">
      <c r="A2711" s="502" t="s">
        <v>4314</v>
      </c>
      <c r="B2711" s="503" t="s">
        <v>4315</v>
      </c>
      <c r="C2711" s="514">
        <v>0</v>
      </c>
      <c r="D2711" s="514">
        <v>0</v>
      </c>
      <c r="E2711" s="514">
        <v>0</v>
      </c>
      <c r="F2711" s="514">
        <v>0</v>
      </c>
      <c r="G2711" s="514">
        <v>0</v>
      </c>
      <c r="H2711" s="514">
        <v>0</v>
      </c>
      <c r="I2711" s="514">
        <v>0</v>
      </c>
      <c r="J2711" s="514">
        <v>0</v>
      </c>
      <c r="K2711" s="514">
        <v>0</v>
      </c>
      <c r="L2711" s="514">
        <v>0</v>
      </c>
      <c r="M2711" s="514">
        <v>0</v>
      </c>
      <c r="N2711" s="514">
        <v>0</v>
      </c>
      <c r="O2711" s="499"/>
      <c r="P2711" s="499"/>
      <c r="Q2711" s="499"/>
    </row>
    <row r="2712" spans="1:17" ht="14.4" x14ac:dyDescent="0.3">
      <c r="A2712" s="502" t="s">
        <v>4316</v>
      </c>
      <c r="B2712" s="503" t="s">
        <v>1528</v>
      </c>
      <c r="C2712" s="514">
        <v>37826.33</v>
      </c>
      <c r="D2712" s="514">
        <v>37826.33</v>
      </c>
      <c r="E2712" s="514">
        <v>37826.33</v>
      </c>
      <c r="F2712" s="514">
        <v>37826.33</v>
      </c>
      <c r="G2712" s="514">
        <v>37826.33</v>
      </c>
      <c r="H2712" s="514">
        <v>37826.33</v>
      </c>
      <c r="I2712" s="514">
        <v>37826.33</v>
      </c>
      <c r="J2712" s="514">
        <v>37826.33</v>
      </c>
      <c r="K2712" s="514">
        <v>37826.33</v>
      </c>
      <c r="L2712" s="514">
        <v>37826.33</v>
      </c>
      <c r="M2712" s="514">
        <v>37826.33</v>
      </c>
      <c r="N2712" s="514">
        <v>37826.33</v>
      </c>
      <c r="O2712" s="499"/>
      <c r="P2712" s="499"/>
      <c r="Q2712" s="499"/>
    </row>
    <row r="2713" spans="1:17" ht="14.4" x14ac:dyDescent="0.3">
      <c r="A2713" s="502" t="s">
        <v>4317</v>
      </c>
      <c r="B2713" s="503" t="s">
        <v>4318</v>
      </c>
      <c r="C2713" s="514">
        <v>0</v>
      </c>
      <c r="D2713" s="514">
        <v>0</v>
      </c>
      <c r="E2713" s="514">
        <v>0</v>
      </c>
      <c r="F2713" s="514">
        <v>0</v>
      </c>
      <c r="G2713" s="514">
        <v>0</v>
      </c>
      <c r="H2713" s="514">
        <v>0</v>
      </c>
      <c r="I2713" s="514">
        <v>0</v>
      </c>
      <c r="J2713" s="514">
        <v>0</v>
      </c>
      <c r="K2713" s="514">
        <v>0</v>
      </c>
      <c r="L2713" s="514">
        <v>0</v>
      </c>
      <c r="M2713" s="514">
        <v>0</v>
      </c>
      <c r="N2713" s="514">
        <v>0</v>
      </c>
      <c r="O2713" s="499"/>
      <c r="P2713" s="499"/>
      <c r="Q2713" s="499"/>
    </row>
    <row r="2714" spans="1:17" ht="14.4" x14ac:dyDescent="0.3">
      <c r="A2714" s="502" t="s">
        <v>4319</v>
      </c>
      <c r="B2714" s="503" t="s">
        <v>4320</v>
      </c>
      <c r="C2714" s="514">
        <v>0</v>
      </c>
      <c r="D2714" s="514">
        <v>0</v>
      </c>
      <c r="E2714" s="514">
        <v>0</v>
      </c>
      <c r="F2714" s="514">
        <v>0</v>
      </c>
      <c r="G2714" s="514">
        <v>0</v>
      </c>
      <c r="H2714" s="514">
        <v>0</v>
      </c>
      <c r="I2714" s="514">
        <v>0</v>
      </c>
      <c r="J2714" s="514">
        <v>0</v>
      </c>
      <c r="K2714" s="514">
        <v>0</v>
      </c>
      <c r="L2714" s="514">
        <v>0</v>
      </c>
      <c r="M2714" s="514">
        <v>0</v>
      </c>
      <c r="N2714" s="514">
        <v>0</v>
      </c>
      <c r="O2714" s="499"/>
      <c r="P2714" s="499"/>
      <c r="Q2714" s="499"/>
    </row>
    <row r="2715" spans="1:17" ht="14.4" x14ac:dyDescent="0.3">
      <c r="A2715" s="502" t="s">
        <v>4321</v>
      </c>
      <c r="B2715" s="503" t="s">
        <v>4322</v>
      </c>
      <c r="C2715" s="514">
        <v>0</v>
      </c>
      <c r="D2715" s="514">
        <v>0</v>
      </c>
      <c r="E2715" s="514">
        <v>0</v>
      </c>
      <c r="F2715" s="514">
        <v>0</v>
      </c>
      <c r="G2715" s="514">
        <v>0</v>
      </c>
      <c r="H2715" s="514">
        <v>0</v>
      </c>
      <c r="I2715" s="514">
        <v>0</v>
      </c>
      <c r="J2715" s="514">
        <v>0</v>
      </c>
      <c r="K2715" s="514">
        <v>0</v>
      </c>
      <c r="L2715" s="514">
        <v>0</v>
      </c>
      <c r="M2715" s="514">
        <v>0</v>
      </c>
      <c r="N2715" s="514">
        <v>0</v>
      </c>
      <c r="O2715" s="499"/>
      <c r="P2715" s="499"/>
      <c r="Q2715" s="499"/>
    </row>
    <row r="2716" spans="1:17" ht="14.4" x14ac:dyDescent="0.3">
      <c r="A2716" s="502" t="s">
        <v>4323</v>
      </c>
      <c r="B2716" s="503" t="s">
        <v>4324</v>
      </c>
      <c r="C2716" s="514">
        <v>0</v>
      </c>
      <c r="D2716" s="514">
        <v>0</v>
      </c>
      <c r="E2716" s="514">
        <v>0</v>
      </c>
      <c r="F2716" s="514">
        <v>0</v>
      </c>
      <c r="G2716" s="514">
        <v>0</v>
      </c>
      <c r="H2716" s="514">
        <v>0</v>
      </c>
      <c r="I2716" s="514">
        <v>0</v>
      </c>
      <c r="J2716" s="514">
        <v>0</v>
      </c>
      <c r="K2716" s="514">
        <v>0</v>
      </c>
      <c r="L2716" s="514">
        <v>0</v>
      </c>
      <c r="M2716" s="514">
        <v>0</v>
      </c>
      <c r="N2716" s="514">
        <v>0</v>
      </c>
      <c r="O2716" s="499"/>
      <c r="P2716" s="499"/>
      <c r="Q2716" s="499"/>
    </row>
    <row r="2717" spans="1:17" ht="14.4" x14ac:dyDescent="0.3">
      <c r="A2717" s="502" t="s">
        <v>4325</v>
      </c>
      <c r="B2717" s="503" t="s">
        <v>4326</v>
      </c>
      <c r="C2717" s="514">
        <v>0</v>
      </c>
      <c r="D2717" s="514">
        <v>0</v>
      </c>
      <c r="E2717" s="514">
        <v>0</v>
      </c>
      <c r="F2717" s="514">
        <v>0</v>
      </c>
      <c r="G2717" s="514">
        <v>0</v>
      </c>
      <c r="H2717" s="514">
        <v>0</v>
      </c>
      <c r="I2717" s="514">
        <v>0</v>
      </c>
      <c r="J2717" s="514">
        <v>0</v>
      </c>
      <c r="K2717" s="514">
        <v>0</v>
      </c>
      <c r="L2717" s="514">
        <v>0</v>
      </c>
      <c r="M2717" s="514">
        <v>0</v>
      </c>
      <c r="N2717" s="514">
        <v>0</v>
      </c>
      <c r="O2717" s="499"/>
      <c r="P2717" s="499"/>
      <c r="Q2717" s="499"/>
    </row>
    <row r="2718" spans="1:17" ht="14.4" x14ac:dyDescent="0.3">
      <c r="A2718" s="502" t="s">
        <v>4327</v>
      </c>
      <c r="B2718" s="503" t="s">
        <v>4328</v>
      </c>
      <c r="C2718" s="514">
        <v>0</v>
      </c>
      <c r="D2718" s="514">
        <v>0</v>
      </c>
      <c r="E2718" s="514">
        <v>0</v>
      </c>
      <c r="F2718" s="514">
        <v>0</v>
      </c>
      <c r="G2718" s="514">
        <v>0</v>
      </c>
      <c r="H2718" s="514">
        <v>0</v>
      </c>
      <c r="I2718" s="514">
        <v>0</v>
      </c>
      <c r="J2718" s="514">
        <v>0</v>
      </c>
      <c r="K2718" s="514">
        <v>0</v>
      </c>
      <c r="L2718" s="514">
        <v>0</v>
      </c>
      <c r="M2718" s="514">
        <v>0</v>
      </c>
      <c r="N2718" s="514">
        <v>0</v>
      </c>
      <c r="O2718" s="499"/>
      <c r="P2718" s="499"/>
      <c r="Q2718" s="499"/>
    </row>
    <row r="2719" spans="1:17" ht="14.4" x14ac:dyDescent="0.3">
      <c r="A2719" s="502" t="s">
        <v>4329</v>
      </c>
      <c r="B2719" s="503" t="s">
        <v>1506</v>
      </c>
      <c r="C2719" s="514">
        <v>20351</v>
      </c>
      <c r="D2719" s="514">
        <v>20351</v>
      </c>
      <c r="E2719" s="514">
        <v>20351</v>
      </c>
      <c r="F2719" s="514">
        <v>20351</v>
      </c>
      <c r="G2719" s="514">
        <v>20351</v>
      </c>
      <c r="H2719" s="514">
        <v>20351</v>
      </c>
      <c r="I2719" s="514">
        <v>20351</v>
      </c>
      <c r="J2719" s="514">
        <v>20351</v>
      </c>
      <c r="K2719" s="514">
        <v>20351</v>
      </c>
      <c r="L2719" s="514">
        <v>20351</v>
      </c>
      <c r="M2719" s="514">
        <v>20351</v>
      </c>
      <c r="N2719" s="514">
        <v>20351</v>
      </c>
      <c r="O2719" s="499"/>
      <c r="P2719" s="499"/>
      <c r="Q2719" s="499"/>
    </row>
    <row r="2720" spans="1:17" ht="14.4" x14ac:dyDescent="0.3">
      <c r="A2720" s="502" t="s">
        <v>4330</v>
      </c>
      <c r="B2720" s="503" t="s">
        <v>4331</v>
      </c>
      <c r="C2720" s="514">
        <v>0</v>
      </c>
      <c r="D2720" s="514">
        <v>0</v>
      </c>
      <c r="E2720" s="514">
        <v>0</v>
      </c>
      <c r="F2720" s="514">
        <v>0</v>
      </c>
      <c r="G2720" s="514">
        <v>0</v>
      </c>
      <c r="H2720" s="514">
        <v>0</v>
      </c>
      <c r="I2720" s="514">
        <v>0</v>
      </c>
      <c r="J2720" s="514">
        <v>0</v>
      </c>
      <c r="K2720" s="514">
        <v>0</v>
      </c>
      <c r="L2720" s="514">
        <v>0</v>
      </c>
      <c r="M2720" s="514">
        <v>0</v>
      </c>
      <c r="N2720" s="514">
        <v>0</v>
      </c>
      <c r="O2720" s="499"/>
      <c r="P2720" s="499"/>
      <c r="Q2720" s="499"/>
    </row>
    <row r="2721" spans="1:17" ht="14.4" x14ac:dyDescent="0.3">
      <c r="A2721" s="502" t="s">
        <v>4332</v>
      </c>
      <c r="B2721" s="503" t="s">
        <v>1508</v>
      </c>
      <c r="C2721" s="514">
        <v>89995.3</v>
      </c>
      <c r="D2721" s="514">
        <v>90555.5</v>
      </c>
      <c r="E2721" s="514">
        <v>90916.27</v>
      </c>
      <c r="F2721" s="514">
        <v>91355.73</v>
      </c>
      <c r="G2721" s="514">
        <v>91473.44</v>
      </c>
      <c r="H2721" s="514">
        <v>91805.11</v>
      </c>
      <c r="I2721" s="514">
        <v>92008.35</v>
      </c>
      <c r="J2721" s="514">
        <v>91820.88</v>
      </c>
      <c r="K2721" s="514">
        <v>91632.01</v>
      </c>
      <c r="L2721" s="514">
        <v>91196.85</v>
      </c>
      <c r="M2721" s="514">
        <v>90955.24</v>
      </c>
      <c r="N2721" s="514">
        <v>91129.49</v>
      </c>
      <c r="O2721" s="499"/>
      <c r="P2721" s="499"/>
      <c r="Q2721" s="499"/>
    </row>
    <row r="2722" spans="1:17" ht="14.4" x14ac:dyDescent="0.3">
      <c r="A2722" s="502" t="s">
        <v>4333</v>
      </c>
      <c r="B2722" s="503" t="s">
        <v>4334</v>
      </c>
      <c r="C2722" s="514">
        <v>0</v>
      </c>
      <c r="D2722" s="514">
        <v>0</v>
      </c>
      <c r="E2722" s="514">
        <v>0</v>
      </c>
      <c r="F2722" s="514">
        <v>0</v>
      </c>
      <c r="G2722" s="514">
        <v>0</v>
      </c>
      <c r="H2722" s="514">
        <v>0</v>
      </c>
      <c r="I2722" s="514">
        <v>0</v>
      </c>
      <c r="J2722" s="514">
        <v>0</v>
      </c>
      <c r="K2722" s="514">
        <v>0</v>
      </c>
      <c r="L2722" s="514">
        <v>0</v>
      </c>
      <c r="M2722" s="514">
        <v>0</v>
      </c>
      <c r="N2722" s="514">
        <v>0</v>
      </c>
      <c r="O2722" s="499"/>
      <c r="P2722" s="499"/>
      <c r="Q2722" s="499"/>
    </row>
    <row r="2723" spans="1:17" ht="14.4" x14ac:dyDescent="0.3">
      <c r="A2723" s="502" t="s">
        <v>4335</v>
      </c>
      <c r="B2723" s="503" t="s">
        <v>4336</v>
      </c>
      <c r="C2723" s="514">
        <v>0</v>
      </c>
      <c r="D2723" s="514">
        <v>0</v>
      </c>
      <c r="E2723" s="514">
        <v>0</v>
      </c>
      <c r="F2723" s="514">
        <v>0</v>
      </c>
      <c r="G2723" s="514">
        <v>0</v>
      </c>
      <c r="H2723" s="514">
        <v>0</v>
      </c>
      <c r="I2723" s="514">
        <v>0</v>
      </c>
      <c r="J2723" s="514">
        <v>0</v>
      </c>
      <c r="K2723" s="514">
        <v>0</v>
      </c>
      <c r="L2723" s="514">
        <v>0</v>
      </c>
      <c r="M2723" s="514">
        <v>0</v>
      </c>
      <c r="N2723" s="514">
        <v>0</v>
      </c>
      <c r="O2723" s="499"/>
      <c r="P2723" s="499"/>
      <c r="Q2723" s="499"/>
    </row>
    <row r="2724" spans="1:17" ht="14.4" x14ac:dyDescent="0.3">
      <c r="A2724" s="502" t="s">
        <v>4337</v>
      </c>
      <c r="B2724" s="503" t="s">
        <v>1510</v>
      </c>
      <c r="C2724" s="514">
        <v>794899</v>
      </c>
      <c r="D2724" s="514">
        <v>794909</v>
      </c>
      <c r="E2724" s="514">
        <v>794909</v>
      </c>
      <c r="F2724" s="514">
        <v>794909</v>
      </c>
      <c r="G2724" s="514">
        <v>794909</v>
      </c>
      <c r="H2724" s="514">
        <v>794909</v>
      </c>
      <c r="I2724" s="514">
        <v>794909</v>
      </c>
      <c r="J2724" s="514">
        <v>794679.83</v>
      </c>
      <c r="K2724" s="514">
        <v>794492</v>
      </c>
      <c r="L2724" s="514">
        <v>794492</v>
      </c>
      <c r="M2724" s="514">
        <v>794492</v>
      </c>
      <c r="N2724" s="514">
        <v>794492</v>
      </c>
      <c r="O2724" s="499"/>
      <c r="P2724" s="499"/>
      <c r="Q2724" s="499"/>
    </row>
    <row r="2725" spans="1:17" ht="14.4" x14ac:dyDescent="0.3">
      <c r="A2725" s="502" t="s">
        <v>4338</v>
      </c>
      <c r="B2725" s="503" t="s">
        <v>4339</v>
      </c>
      <c r="C2725" s="514">
        <v>0</v>
      </c>
      <c r="D2725" s="514">
        <v>0</v>
      </c>
      <c r="E2725" s="514">
        <v>0</v>
      </c>
      <c r="F2725" s="514">
        <v>0</v>
      </c>
      <c r="G2725" s="514">
        <v>0</v>
      </c>
      <c r="H2725" s="514">
        <v>0</v>
      </c>
      <c r="I2725" s="514">
        <v>0</v>
      </c>
      <c r="J2725" s="514">
        <v>0</v>
      </c>
      <c r="K2725" s="514">
        <v>0</v>
      </c>
      <c r="L2725" s="514">
        <v>0</v>
      </c>
      <c r="M2725" s="514">
        <v>0</v>
      </c>
      <c r="N2725" s="514">
        <v>0</v>
      </c>
      <c r="O2725" s="499"/>
      <c r="P2725" s="499"/>
      <c r="Q2725" s="499"/>
    </row>
    <row r="2726" spans="1:17" ht="14.4" x14ac:dyDescent="0.3">
      <c r="A2726" s="502" t="s">
        <v>4340</v>
      </c>
      <c r="B2726" s="503" t="s">
        <v>4341</v>
      </c>
      <c r="C2726" s="514">
        <v>0</v>
      </c>
      <c r="D2726" s="514">
        <v>0</v>
      </c>
      <c r="E2726" s="514">
        <v>0</v>
      </c>
      <c r="F2726" s="514">
        <v>0</v>
      </c>
      <c r="G2726" s="514">
        <v>0</v>
      </c>
      <c r="H2726" s="514">
        <v>0</v>
      </c>
      <c r="I2726" s="514">
        <v>0</v>
      </c>
      <c r="J2726" s="514">
        <v>0</v>
      </c>
      <c r="K2726" s="514">
        <v>0</v>
      </c>
      <c r="L2726" s="514">
        <v>0</v>
      </c>
      <c r="M2726" s="514">
        <v>0</v>
      </c>
      <c r="N2726" s="514">
        <v>0</v>
      </c>
      <c r="O2726" s="499"/>
      <c r="P2726" s="499"/>
      <c r="Q2726" s="499"/>
    </row>
    <row r="2727" spans="1:17" ht="14.4" x14ac:dyDescent="0.3">
      <c r="A2727" s="502" t="s">
        <v>4342</v>
      </c>
      <c r="B2727" s="503" t="s">
        <v>1512</v>
      </c>
      <c r="C2727" s="514">
        <v>984527.38</v>
      </c>
      <c r="D2727" s="514">
        <v>984721.84</v>
      </c>
      <c r="E2727" s="514">
        <v>988452.79</v>
      </c>
      <c r="F2727" s="514">
        <v>992113.91</v>
      </c>
      <c r="G2727" s="514">
        <v>992113.91</v>
      </c>
      <c r="H2727" s="514">
        <v>994035.76</v>
      </c>
      <c r="I2727" s="514">
        <v>995268.28</v>
      </c>
      <c r="J2727" s="514">
        <v>995432.39</v>
      </c>
      <c r="K2727" s="514">
        <v>995432.39</v>
      </c>
      <c r="L2727" s="514">
        <v>995432.39</v>
      </c>
      <c r="M2727" s="514">
        <v>995432.39</v>
      </c>
      <c r="N2727" s="514">
        <v>1006763.2</v>
      </c>
      <c r="O2727" s="499"/>
      <c r="P2727" s="499"/>
      <c r="Q2727" s="499"/>
    </row>
    <row r="2728" spans="1:17" ht="14.4" x14ac:dyDescent="0.3">
      <c r="A2728" s="502" t="s">
        <v>4343</v>
      </c>
      <c r="B2728" s="503" t="s">
        <v>4344</v>
      </c>
      <c r="C2728" s="514">
        <v>0</v>
      </c>
      <c r="D2728" s="514">
        <v>0</v>
      </c>
      <c r="E2728" s="514">
        <v>0</v>
      </c>
      <c r="F2728" s="514">
        <v>0</v>
      </c>
      <c r="G2728" s="514">
        <v>0</v>
      </c>
      <c r="H2728" s="514">
        <v>0</v>
      </c>
      <c r="I2728" s="514">
        <v>0</v>
      </c>
      <c r="J2728" s="514">
        <v>0</v>
      </c>
      <c r="K2728" s="514">
        <v>0</v>
      </c>
      <c r="L2728" s="514">
        <v>0</v>
      </c>
      <c r="M2728" s="514">
        <v>0</v>
      </c>
      <c r="N2728" s="514">
        <v>0</v>
      </c>
      <c r="O2728" s="499"/>
      <c r="P2728" s="499"/>
      <c r="Q2728" s="499"/>
    </row>
    <row r="2729" spans="1:17" ht="14.4" x14ac:dyDescent="0.3">
      <c r="A2729" s="502" t="s">
        <v>4345</v>
      </c>
      <c r="B2729" s="503" t="s">
        <v>1516</v>
      </c>
      <c r="C2729" s="514">
        <v>69809</v>
      </c>
      <c r="D2729" s="514">
        <v>69809</v>
      </c>
      <c r="E2729" s="514">
        <v>69809</v>
      </c>
      <c r="F2729" s="514">
        <v>69809</v>
      </c>
      <c r="G2729" s="514">
        <v>69809</v>
      </c>
      <c r="H2729" s="514">
        <v>69809</v>
      </c>
      <c r="I2729" s="514">
        <v>69809</v>
      </c>
      <c r="J2729" s="514">
        <v>69809</v>
      </c>
      <c r="K2729" s="514">
        <v>69809</v>
      </c>
      <c r="L2729" s="514">
        <v>69809</v>
      </c>
      <c r="M2729" s="514">
        <v>69809</v>
      </c>
      <c r="N2729" s="514">
        <v>69809</v>
      </c>
      <c r="O2729" s="499"/>
      <c r="P2729" s="499"/>
      <c r="Q2729" s="499"/>
    </row>
    <row r="2730" spans="1:17" ht="14.4" x14ac:dyDescent="0.3">
      <c r="A2730" s="502" t="s">
        <v>4346</v>
      </c>
      <c r="B2730" s="503" t="s">
        <v>4347</v>
      </c>
      <c r="C2730" s="514">
        <v>0</v>
      </c>
      <c r="D2730" s="514">
        <v>0</v>
      </c>
      <c r="E2730" s="514">
        <v>0</v>
      </c>
      <c r="F2730" s="514">
        <v>0</v>
      </c>
      <c r="G2730" s="514">
        <v>0</v>
      </c>
      <c r="H2730" s="514">
        <v>0</v>
      </c>
      <c r="I2730" s="514">
        <v>0</v>
      </c>
      <c r="J2730" s="514">
        <v>0</v>
      </c>
      <c r="K2730" s="514">
        <v>0</v>
      </c>
      <c r="L2730" s="514">
        <v>0</v>
      </c>
      <c r="M2730" s="514">
        <v>0</v>
      </c>
      <c r="N2730" s="514">
        <v>0</v>
      </c>
      <c r="O2730" s="499"/>
      <c r="P2730" s="499"/>
      <c r="Q2730" s="499"/>
    </row>
    <row r="2731" spans="1:17" ht="14.4" x14ac:dyDescent="0.3">
      <c r="A2731" s="502" t="s">
        <v>4348</v>
      </c>
      <c r="B2731" s="503" t="s">
        <v>4349</v>
      </c>
      <c r="C2731" s="514">
        <v>0</v>
      </c>
      <c r="D2731" s="514">
        <v>0</v>
      </c>
      <c r="E2731" s="514">
        <v>0</v>
      </c>
      <c r="F2731" s="514">
        <v>0</v>
      </c>
      <c r="G2731" s="514">
        <v>0</v>
      </c>
      <c r="H2731" s="514">
        <v>0</v>
      </c>
      <c r="I2731" s="514">
        <v>0</v>
      </c>
      <c r="J2731" s="514">
        <v>0</v>
      </c>
      <c r="K2731" s="514">
        <v>0</v>
      </c>
      <c r="L2731" s="514">
        <v>0</v>
      </c>
      <c r="M2731" s="514">
        <v>0</v>
      </c>
      <c r="N2731" s="514">
        <v>0</v>
      </c>
      <c r="O2731" s="499"/>
      <c r="P2731" s="499"/>
      <c r="Q2731" s="499"/>
    </row>
    <row r="2732" spans="1:17" ht="14.4" x14ac:dyDescent="0.3">
      <c r="A2732" s="502" t="s">
        <v>4350</v>
      </c>
      <c r="B2732" s="503" t="s">
        <v>4351</v>
      </c>
      <c r="C2732" s="514">
        <v>0</v>
      </c>
      <c r="D2732" s="514">
        <v>0</v>
      </c>
      <c r="E2732" s="514">
        <v>0</v>
      </c>
      <c r="F2732" s="514">
        <v>0</v>
      </c>
      <c r="G2732" s="514">
        <v>0</v>
      </c>
      <c r="H2732" s="514">
        <v>0</v>
      </c>
      <c r="I2732" s="514">
        <v>0</v>
      </c>
      <c r="J2732" s="514">
        <v>0</v>
      </c>
      <c r="K2732" s="514">
        <v>0</v>
      </c>
      <c r="L2732" s="514">
        <v>0</v>
      </c>
      <c r="M2732" s="514">
        <v>0</v>
      </c>
      <c r="N2732" s="514">
        <v>0</v>
      </c>
      <c r="O2732" s="499"/>
      <c r="P2732" s="499"/>
      <c r="Q2732" s="499"/>
    </row>
    <row r="2733" spans="1:17" ht="14.4" x14ac:dyDescent="0.3">
      <c r="A2733" s="502" t="s">
        <v>4352</v>
      </c>
      <c r="B2733" s="503" t="s">
        <v>4353</v>
      </c>
      <c r="C2733" s="514">
        <v>0</v>
      </c>
      <c r="D2733" s="514">
        <v>0</v>
      </c>
      <c r="E2733" s="514">
        <v>0</v>
      </c>
      <c r="F2733" s="514">
        <v>0</v>
      </c>
      <c r="G2733" s="514">
        <v>0</v>
      </c>
      <c r="H2733" s="514">
        <v>0</v>
      </c>
      <c r="I2733" s="514">
        <v>0</v>
      </c>
      <c r="J2733" s="514">
        <v>0</v>
      </c>
      <c r="K2733" s="514">
        <v>0</v>
      </c>
      <c r="L2733" s="514">
        <v>0</v>
      </c>
      <c r="M2733" s="514">
        <v>0</v>
      </c>
      <c r="N2733" s="514">
        <v>0</v>
      </c>
      <c r="O2733" s="499"/>
      <c r="P2733" s="499"/>
      <c r="Q2733" s="499"/>
    </row>
    <row r="2734" spans="1:17" ht="14.4" x14ac:dyDescent="0.3">
      <c r="A2734" s="502" t="s">
        <v>4354</v>
      </c>
      <c r="B2734" s="503" t="s">
        <v>4355</v>
      </c>
      <c r="C2734" s="514">
        <v>0</v>
      </c>
      <c r="D2734" s="514">
        <v>0</v>
      </c>
      <c r="E2734" s="514">
        <v>0</v>
      </c>
      <c r="F2734" s="514">
        <v>0</v>
      </c>
      <c r="G2734" s="514">
        <v>0</v>
      </c>
      <c r="H2734" s="514">
        <v>0</v>
      </c>
      <c r="I2734" s="514">
        <v>0</v>
      </c>
      <c r="J2734" s="514">
        <v>0</v>
      </c>
      <c r="K2734" s="514">
        <v>0</v>
      </c>
      <c r="L2734" s="514">
        <v>0</v>
      </c>
      <c r="M2734" s="514">
        <v>0</v>
      </c>
      <c r="N2734" s="514">
        <v>0</v>
      </c>
      <c r="O2734" s="499"/>
      <c r="P2734" s="499"/>
      <c r="Q2734" s="499"/>
    </row>
    <row r="2735" spans="1:17" ht="14.4" x14ac:dyDescent="0.3">
      <c r="A2735" s="502" t="s">
        <v>4356</v>
      </c>
      <c r="B2735" s="503" t="s">
        <v>4357</v>
      </c>
      <c r="C2735" s="514">
        <v>0</v>
      </c>
      <c r="D2735" s="514">
        <v>0</v>
      </c>
      <c r="E2735" s="514">
        <v>0</v>
      </c>
      <c r="F2735" s="514">
        <v>0</v>
      </c>
      <c r="G2735" s="514">
        <v>0</v>
      </c>
      <c r="H2735" s="514">
        <v>0</v>
      </c>
      <c r="I2735" s="514">
        <v>0</v>
      </c>
      <c r="J2735" s="514">
        <v>0</v>
      </c>
      <c r="K2735" s="514">
        <v>0</v>
      </c>
      <c r="L2735" s="514">
        <v>0</v>
      </c>
      <c r="M2735" s="514">
        <v>0</v>
      </c>
      <c r="N2735" s="514">
        <v>0</v>
      </c>
      <c r="O2735" s="499"/>
      <c r="P2735" s="499"/>
      <c r="Q2735" s="499"/>
    </row>
    <row r="2736" spans="1:17" ht="14.4" x14ac:dyDescent="0.3">
      <c r="A2736" s="502" t="s">
        <v>4358</v>
      </c>
      <c r="B2736" s="503" t="s">
        <v>4359</v>
      </c>
      <c r="C2736" s="514">
        <v>0</v>
      </c>
      <c r="D2736" s="514">
        <v>0</v>
      </c>
      <c r="E2736" s="514">
        <v>0</v>
      </c>
      <c r="F2736" s="514">
        <v>0</v>
      </c>
      <c r="G2736" s="514">
        <v>0</v>
      </c>
      <c r="H2736" s="514">
        <v>0</v>
      </c>
      <c r="I2736" s="514">
        <v>0</v>
      </c>
      <c r="J2736" s="514">
        <v>0</v>
      </c>
      <c r="K2736" s="514">
        <v>0</v>
      </c>
      <c r="L2736" s="514">
        <v>0</v>
      </c>
      <c r="M2736" s="514">
        <v>0</v>
      </c>
      <c r="N2736" s="514">
        <v>0</v>
      </c>
      <c r="O2736" s="499"/>
      <c r="P2736" s="499"/>
      <c r="Q2736" s="499"/>
    </row>
    <row r="2737" spans="1:17" ht="14.4" x14ac:dyDescent="0.3">
      <c r="A2737" s="502" t="s">
        <v>4360</v>
      </c>
      <c r="B2737" s="503" t="s">
        <v>4361</v>
      </c>
      <c r="C2737" s="514">
        <v>0</v>
      </c>
      <c r="D2737" s="514">
        <v>0</v>
      </c>
      <c r="E2737" s="514">
        <v>0</v>
      </c>
      <c r="F2737" s="514">
        <v>0</v>
      </c>
      <c r="G2737" s="514">
        <v>0</v>
      </c>
      <c r="H2737" s="514">
        <v>0</v>
      </c>
      <c r="I2737" s="514">
        <v>0</v>
      </c>
      <c r="J2737" s="514">
        <v>0</v>
      </c>
      <c r="K2737" s="514">
        <v>0</v>
      </c>
      <c r="L2737" s="514">
        <v>0</v>
      </c>
      <c r="M2737" s="514">
        <v>0</v>
      </c>
      <c r="N2737" s="514">
        <v>0</v>
      </c>
      <c r="O2737" s="499"/>
      <c r="P2737" s="499"/>
      <c r="Q2737" s="499"/>
    </row>
    <row r="2738" spans="1:17" ht="14.4" x14ac:dyDescent="0.3">
      <c r="A2738" s="502" t="s">
        <v>4362</v>
      </c>
      <c r="B2738" s="503" t="s">
        <v>1564</v>
      </c>
      <c r="C2738" s="514">
        <v>4481124.3499999996</v>
      </c>
      <c r="D2738" s="514">
        <v>4197962.47</v>
      </c>
      <c r="E2738" s="514">
        <v>4090715.82</v>
      </c>
      <c r="F2738" s="514">
        <v>4295952.28</v>
      </c>
      <c r="G2738" s="514">
        <v>4716063.5999999996</v>
      </c>
      <c r="H2738" s="514">
        <v>5399834.3200000003</v>
      </c>
      <c r="I2738" s="514">
        <v>5662607.1600000001</v>
      </c>
      <c r="J2738" s="514">
        <v>5629286.0199999996</v>
      </c>
      <c r="K2738" s="514">
        <v>5762106.2300000004</v>
      </c>
      <c r="L2738" s="514">
        <v>5208305.9000000004</v>
      </c>
      <c r="M2738" s="514">
        <v>4515048.13</v>
      </c>
      <c r="N2738" s="514">
        <v>4298924.9400000004</v>
      </c>
      <c r="O2738" s="499"/>
      <c r="P2738" s="499"/>
      <c r="Q2738" s="499"/>
    </row>
    <row r="2739" spans="1:17" ht="14.4" x14ac:dyDescent="0.3">
      <c r="A2739" s="502" t="s">
        <v>4363</v>
      </c>
      <c r="B2739" s="503" t="s">
        <v>4364</v>
      </c>
      <c r="C2739" s="514">
        <v>0</v>
      </c>
      <c r="D2739" s="514">
        <v>0</v>
      </c>
      <c r="E2739" s="514">
        <v>0</v>
      </c>
      <c r="F2739" s="514">
        <v>0</v>
      </c>
      <c r="G2739" s="514">
        <v>0</v>
      </c>
      <c r="H2739" s="514">
        <v>0</v>
      </c>
      <c r="I2739" s="514">
        <v>0</v>
      </c>
      <c r="J2739" s="514">
        <v>0</v>
      </c>
      <c r="K2739" s="514">
        <v>0</v>
      </c>
      <c r="L2739" s="514">
        <v>0</v>
      </c>
      <c r="M2739" s="514">
        <v>0</v>
      </c>
      <c r="N2739" s="514">
        <v>0</v>
      </c>
      <c r="O2739" s="499"/>
      <c r="P2739" s="499"/>
      <c r="Q2739" s="499"/>
    </row>
    <row r="2740" spans="1:17" ht="14.4" x14ac:dyDescent="0.3">
      <c r="A2740" s="502" t="s">
        <v>4365</v>
      </c>
      <c r="B2740" s="503" t="s">
        <v>1566</v>
      </c>
      <c r="C2740" s="514">
        <v>4709441.18</v>
      </c>
      <c r="D2740" s="514">
        <v>4369452.25</v>
      </c>
      <c r="E2740" s="514">
        <v>4227222.88</v>
      </c>
      <c r="F2740" s="514">
        <v>4449142.1500000004</v>
      </c>
      <c r="G2740" s="514">
        <v>4939861.63</v>
      </c>
      <c r="H2740" s="514">
        <v>5740267.54</v>
      </c>
      <c r="I2740" s="514">
        <v>6054590.6399999997</v>
      </c>
      <c r="J2740" s="514">
        <v>6009853.6900000004</v>
      </c>
      <c r="K2740" s="514">
        <v>6168931.29</v>
      </c>
      <c r="L2740" s="514">
        <v>5505644.0599999996</v>
      </c>
      <c r="M2740" s="514">
        <v>4694364.96</v>
      </c>
      <c r="N2740" s="514">
        <v>4465303.82</v>
      </c>
      <c r="O2740" s="499"/>
      <c r="P2740" s="499"/>
      <c r="Q2740" s="499"/>
    </row>
    <row r="2741" spans="1:17" ht="14.4" x14ac:dyDescent="0.3">
      <c r="A2741" s="502" t="s">
        <v>4366</v>
      </c>
      <c r="B2741" s="503" t="s">
        <v>1568</v>
      </c>
      <c r="C2741" s="514">
        <v>1322239.8</v>
      </c>
      <c r="D2741" s="514">
        <v>1208420.3799999999</v>
      </c>
      <c r="E2741" s="514">
        <v>1217083.48</v>
      </c>
      <c r="F2741" s="514">
        <v>1292468.02</v>
      </c>
      <c r="G2741" s="514">
        <v>1344901.38</v>
      </c>
      <c r="H2741" s="514">
        <v>1172169.81</v>
      </c>
      <c r="I2741" s="514">
        <v>1356824.18</v>
      </c>
      <c r="J2741" s="514">
        <v>1296481.8999999999</v>
      </c>
      <c r="K2741" s="514">
        <v>1235393.26</v>
      </c>
      <c r="L2741" s="514">
        <v>1367001.67</v>
      </c>
      <c r="M2741" s="514">
        <v>1244380.67</v>
      </c>
      <c r="N2741" s="514">
        <v>1303307.71</v>
      </c>
      <c r="O2741" s="499"/>
      <c r="P2741" s="499"/>
      <c r="Q2741" s="499"/>
    </row>
    <row r="2742" spans="1:17" ht="14.4" x14ac:dyDescent="0.3">
      <c r="A2742" s="502" t="s">
        <v>4367</v>
      </c>
      <c r="B2742" s="503" t="s">
        <v>4368</v>
      </c>
      <c r="C2742" s="514">
        <v>0</v>
      </c>
      <c r="D2742" s="514">
        <v>0</v>
      </c>
      <c r="E2742" s="514">
        <v>0</v>
      </c>
      <c r="F2742" s="514">
        <v>0</v>
      </c>
      <c r="G2742" s="514">
        <v>0</v>
      </c>
      <c r="H2742" s="514">
        <v>0</v>
      </c>
      <c r="I2742" s="514">
        <v>0</v>
      </c>
      <c r="J2742" s="514">
        <v>0</v>
      </c>
      <c r="K2742" s="514">
        <v>0</v>
      </c>
      <c r="L2742" s="514">
        <v>0</v>
      </c>
      <c r="M2742" s="514">
        <v>0</v>
      </c>
      <c r="N2742" s="514">
        <v>0</v>
      </c>
      <c r="O2742" s="499"/>
      <c r="P2742" s="499"/>
      <c r="Q2742" s="499"/>
    </row>
    <row r="2743" spans="1:17" ht="14.4" x14ac:dyDescent="0.3">
      <c r="A2743" s="502" t="s">
        <v>4369</v>
      </c>
      <c r="B2743" s="503" t="s">
        <v>1570</v>
      </c>
      <c r="C2743" s="514">
        <v>188042</v>
      </c>
      <c r="D2743" s="514">
        <v>188042</v>
      </c>
      <c r="E2743" s="514">
        <v>324550</v>
      </c>
      <c r="F2743" s="514">
        <v>188042</v>
      </c>
      <c r="G2743" s="514">
        <v>188042</v>
      </c>
      <c r="H2743" s="514">
        <v>324550</v>
      </c>
      <c r="I2743" s="514">
        <v>188042</v>
      </c>
      <c r="J2743" s="514">
        <v>188042</v>
      </c>
      <c r="K2743" s="514">
        <v>324550</v>
      </c>
      <c r="L2743" s="514">
        <v>188042</v>
      </c>
      <c r="M2743" s="514">
        <v>188042</v>
      </c>
      <c r="N2743" s="514">
        <v>324550</v>
      </c>
      <c r="O2743" s="499"/>
      <c r="P2743" s="499"/>
      <c r="Q2743" s="499"/>
    </row>
    <row r="2744" spans="1:17" ht="14.4" x14ac:dyDescent="0.3">
      <c r="A2744" s="502" t="s">
        <v>4370</v>
      </c>
      <c r="B2744" s="503" t="s">
        <v>1572</v>
      </c>
      <c r="C2744" s="514">
        <v>95690.32</v>
      </c>
      <c r="D2744" s="514">
        <v>92066.53</v>
      </c>
      <c r="E2744" s="514">
        <v>146400.85999999999</v>
      </c>
      <c r="F2744" s="514">
        <v>97272.15</v>
      </c>
      <c r="G2744" s="514">
        <v>66780.009999999995</v>
      </c>
      <c r="H2744" s="514">
        <v>144771.98000000001</v>
      </c>
      <c r="I2744" s="514">
        <v>101387.75</v>
      </c>
      <c r="J2744" s="514">
        <v>105914.81</v>
      </c>
      <c r="K2744" s="514">
        <v>90162.06</v>
      </c>
      <c r="L2744" s="514">
        <v>522282.26</v>
      </c>
      <c r="M2744" s="514">
        <v>296055.67999999999</v>
      </c>
      <c r="N2744" s="514">
        <v>151000.35999999999</v>
      </c>
      <c r="O2744" s="499"/>
      <c r="P2744" s="499"/>
      <c r="Q2744" s="499"/>
    </row>
    <row r="2745" spans="1:17" ht="14.4" x14ac:dyDescent="0.3">
      <c r="A2745" s="502" t="s">
        <v>4371</v>
      </c>
      <c r="B2745" s="503" t="s">
        <v>4372</v>
      </c>
      <c r="C2745" s="514">
        <v>0</v>
      </c>
      <c r="D2745" s="514">
        <v>0</v>
      </c>
      <c r="E2745" s="514">
        <v>0</v>
      </c>
      <c r="F2745" s="514">
        <v>0</v>
      </c>
      <c r="G2745" s="514">
        <v>0</v>
      </c>
      <c r="H2745" s="514">
        <v>0</v>
      </c>
      <c r="I2745" s="514">
        <v>0</v>
      </c>
      <c r="J2745" s="514">
        <v>0</v>
      </c>
      <c r="K2745" s="514">
        <v>0</v>
      </c>
      <c r="L2745" s="514">
        <v>0</v>
      </c>
      <c r="M2745" s="514">
        <v>0</v>
      </c>
      <c r="N2745" s="514">
        <v>0</v>
      </c>
      <c r="O2745" s="499"/>
      <c r="P2745" s="499"/>
      <c r="Q2745" s="499"/>
    </row>
    <row r="2746" spans="1:17" ht="14.4" x14ac:dyDescent="0.3">
      <c r="A2746" s="502" t="s">
        <v>4373</v>
      </c>
      <c r="B2746" s="503" t="s">
        <v>1574</v>
      </c>
      <c r="C2746" s="514">
        <v>7557237</v>
      </c>
      <c r="D2746" s="514">
        <v>7557237</v>
      </c>
      <c r="E2746" s="514">
        <v>7557237</v>
      </c>
      <c r="F2746" s="514">
        <v>7557237</v>
      </c>
      <c r="G2746" s="514">
        <v>7557237</v>
      </c>
      <c r="H2746" s="514">
        <v>7557237</v>
      </c>
      <c r="I2746" s="514">
        <v>7557237</v>
      </c>
      <c r="J2746" s="514">
        <v>7557237</v>
      </c>
      <c r="K2746" s="514">
        <v>7557237</v>
      </c>
      <c r="L2746" s="514">
        <v>7557237</v>
      </c>
      <c r="M2746" s="514">
        <v>7557237</v>
      </c>
      <c r="N2746" s="514">
        <v>7557237</v>
      </c>
      <c r="O2746" s="499"/>
      <c r="P2746" s="499"/>
      <c r="Q2746" s="499"/>
    </row>
    <row r="2747" spans="1:17" ht="14.4" x14ac:dyDescent="0.3">
      <c r="A2747" s="502" t="s">
        <v>4374</v>
      </c>
      <c r="B2747" s="503" t="s">
        <v>4375</v>
      </c>
      <c r="C2747" s="514">
        <v>0</v>
      </c>
      <c r="D2747" s="514">
        <v>0</v>
      </c>
      <c r="E2747" s="514">
        <v>0</v>
      </c>
      <c r="F2747" s="514">
        <v>0</v>
      </c>
      <c r="G2747" s="514">
        <v>0</v>
      </c>
      <c r="H2747" s="514">
        <v>0</v>
      </c>
      <c r="I2747" s="514">
        <v>0</v>
      </c>
      <c r="J2747" s="514">
        <v>0</v>
      </c>
      <c r="K2747" s="514">
        <v>0</v>
      </c>
      <c r="L2747" s="514">
        <v>0</v>
      </c>
      <c r="M2747" s="514">
        <v>0</v>
      </c>
      <c r="N2747" s="514">
        <v>0</v>
      </c>
      <c r="O2747" s="499"/>
      <c r="P2747" s="499"/>
      <c r="Q2747" s="499"/>
    </row>
    <row r="2748" spans="1:17" ht="14.4" x14ac:dyDescent="0.3">
      <c r="A2748" s="502" t="s">
        <v>4376</v>
      </c>
      <c r="B2748" s="503" t="s">
        <v>1576</v>
      </c>
      <c r="C2748" s="514">
        <v>10000</v>
      </c>
      <c r="D2748" s="514">
        <v>10000</v>
      </c>
      <c r="E2748" s="514">
        <v>10000</v>
      </c>
      <c r="F2748" s="514">
        <v>10000</v>
      </c>
      <c r="G2748" s="514">
        <v>10000</v>
      </c>
      <c r="H2748" s="514">
        <v>10000</v>
      </c>
      <c r="I2748" s="514">
        <v>10000</v>
      </c>
      <c r="J2748" s="514">
        <v>10000</v>
      </c>
      <c r="K2748" s="514">
        <v>10000</v>
      </c>
      <c r="L2748" s="514">
        <v>10000</v>
      </c>
      <c r="M2748" s="514">
        <v>10000</v>
      </c>
      <c r="N2748" s="514">
        <v>10000</v>
      </c>
      <c r="O2748" s="499"/>
      <c r="P2748" s="499"/>
      <c r="Q2748" s="499"/>
    </row>
    <row r="2749" spans="1:17" ht="14.4" x14ac:dyDescent="0.3">
      <c r="A2749" s="502" t="s">
        <v>4377</v>
      </c>
      <c r="B2749" s="503" t="s">
        <v>1578</v>
      </c>
      <c r="C2749" s="514">
        <v>140433.26</v>
      </c>
      <c r="D2749" s="514">
        <v>130640.01</v>
      </c>
      <c r="E2749" s="514">
        <v>126574.72</v>
      </c>
      <c r="F2749" s="514">
        <v>133011.9</v>
      </c>
      <c r="G2749" s="514">
        <v>147134.76</v>
      </c>
      <c r="H2749" s="514">
        <v>170216.26</v>
      </c>
      <c r="I2749" s="514">
        <v>179266.77</v>
      </c>
      <c r="J2749" s="514">
        <v>177983.05</v>
      </c>
      <c r="K2749" s="514">
        <v>182543.52</v>
      </c>
      <c r="L2749" s="514">
        <v>163473.10999999999</v>
      </c>
      <c r="M2749" s="514">
        <v>140087.07999999999</v>
      </c>
      <c r="N2749" s="514">
        <v>133520.34</v>
      </c>
      <c r="O2749" s="499"/>
      <c r="P2749" s="499"/>
      <c r="Q2749" s="499"/>
    </row>
    <row r="2750" spans="1:17" ht="14.4" x14ac:dyDescent="0.3">
      <c r="A2750" s="502" t="s">
        <v>4378</v>
      </c>
      <c r="B2750" s="503" t="s">
        <v>1580</v>
      </c>
      <c r="C2750" s="514">
        <v>17000</v>
      </c>
      <c r="D2750" s="514">
        <v>17000</v>
      </c>
      <c r="E2750" s="514">
        <v>17000</v>
      </c>
      <c r="F2750" s="514">
        <v>17000</v>
      </c>
      <c r="G2750" s="514">
        <v>17000</v>
      </c>
      <c r="H2750" s="514">
        <v>17000</v>
      </c>
      <c r="I2750" s="514">
        <v>17000</v>
      </c>
      <c r="J2750" s="514">
        <v>17000</v>
      </c>
      <c r="K2750" s="514">
        <v>17000</v>
      </c>
      <c r="L2750" s="514">
        <v>17000</v>
      </c>
      <c r="M2750" s="514">
        <v>17000</v>
      </c>
      <c r="N2750" s="514">
        <v>17000</v>
      </c>
      <c r="O2750" s="499"/>
      <c r="P2750" s="499"/>
      <c r="Q2750" s="499"/>
    </row>
    <row r="2751" spans="1:17" ht="14.4" x14ac:dyDescent="0.3">
      <c r="A2751" s="502" t="s">
        <v>4379</v>
      </c>
      <c r="B2751" s="503" t="s">
        <v>4380</v>
      </c>
      <c r="C2751" s="514">
        <v>0</v>
      </c>
      <c r="D2751" s="514">
        <v>0</v>
      </c>
      <c r="E2751" s="514">
        <v>0</v>
      </c>
      <c r="F2751" s="514">
        <v>0</v>
      </c>
      <c r="G2751" s="514">
        <v>0</v>
      </c>
      <c r="H2751" s="514">
        <v>0</v>
      </c>
      <c r="I2751" s="514">
        <v>0</v>
      </c>
      <c r="J2751" s="514">
        <v>0</v>
      </c>
      <c r="K2751" s="514">
        <v>0</v>
      </c>
      <c r="L2751" s="514">
        <v>0</v>
      </c>
      <c r="M2751" s="514">
        <v>0</v>
      </c>
      <c r="N2751" s="514">
        <v>0</v>
      </c>
      <c r="O2751" s="499"/>
      <c r="P2751" s="499"/>
      <c r="Q2751" s="499"/>
    </row>
    <row r="2752" spans="1:17" ht="14.4" x14ac:dyDescent="0.3">
      <c r="A2752" s="502" t="s">
        <v>4381</v>
      </c>
      <c r="B2752" s="503" t="s">
        <v>4382</v>
      </c>
      <c r="C2752" s="514">
        <v>0</v>
      </c>
      <c r="D2752" s="514">
        <v>2000</v>
      </c>
      <c r="E2752" s="514">
        <v>0</v>
      </c>
      <c r="F2752" s="514">
        <v>0</v>
      </c>
      <c r="G2752" s="514">
        <v>0</v>
      </c>
      <c r="H2752" s="514">
        <v>0</v>
      </c>
      <c r="I2752" s="514">
        <v>0</v>
      </c>
      <c r="J2752" s="514">
        <v>0</v>
      </c>
      <c r="K2752" s="514">
        <v>0</v>
      </c>
      <c r="L2752" s="514">
        <v>0</v>
      </c>
      <c r="M2752" s="514">
        <v>0</v>
      </c>
      <c r="N2752" s="514">
        <v>0</v>
      </c>
      <c r="O2752" s="499"/>
      <c r="P2752" s="499"/>
      <c r="Q2752" s="499"/>
    </row>
    <row r="2753" spans="1:17" ht="14.4" x14ac:dyDescent="0.3">
      <c r="A2753" s="502" t="s">
        <v>4383</v>
      </c>
      <c r="B2753" s="503" t="s">
        <v>1582</v>
      </c>
      <c r="C2753" s="514">
        <v>1000</v>
      </c>
      <c r="D2753" s="514">
        <v>0</v>
      </c>
      <c r="E2753" s="514">
        <v>0</v>
      </c>
      <c r="F2753" s="514">
        <v>0</v>
      </c>
      <c r="G2753" s="514">
        <v>0</v>
      </c>
      <c r="H2753" s="514">
        <v>0</v>
      </c>
      <c r="I2753" s="514">
        <v>36000</v>
      </c>
      <c r="J2753" s="514">
        <v>13000</v>
      </c>
      <c r="K2753" s="514">
        <v>0</v>
      </c>
      <c r="L2753" s="514">
        <v>0</v>
      </c>
      <c r="M2753" s="514">
        <v>1000</v>
      </c>
      <c r="N2753" s="514">
        <v>0</v>
      </c>
      <c r="O2753" s="499"/>
      <c r="P2753" s="499"/>
      <c r="Q2753" s="499"/>
    </row>
    <row r="2754" spans="1:17" ht="14.4" x14ac:dyDescent="0.3">
      <c r="A2754" s="502" t="s">
        <v>4384</v>
      </c>
      <c r="B2754" s="503" t="s">
        <v>1584</v>
      </c>
      <c r="C2754" s="514">
        <v>0</v>
      </c>
      <c r="D2754" s="514">
        <v>0</v>
      </c>
      <c r="E2754" s="514">
        <v>0</v>
      </c>
      <c r="F2754" s="514">
        <v>0</v>
      </c>
      <c r="G2754" s="514">
        <v>0</v>
      </c>
      <c r="H2754" s="514">
        <v>0</v>
      </c>
      <c r="I2754" s="514">
        <v>0</v>
      </c>
      <c r="J2754" s="514">
        <v>0</v>
      </c>
      <c r="K2754" s="514">
        <v>12000</v>
      </c>
      <c r="L2754" s="514">
        <v>0</v>
      </c>
      <c r="M2754" s="514">
        <v>0</v>
      </c>
      <c r="N2754" s="514">
        <v>0</v>
      </c>
      <c r="O2754" s="499"/>
      <c r="P2754" s="499"/>
      <c r="Q2754" s="499"/>
    </row>
    <row r="2755" spans="1:17" ht="14.4" x14ac:dyDescent="0.3">
      <c r="A2755" s="502" t="s">
        <v>4385</v>
      </c>
      <c r="B2755" s="503" t="s">
        <v>4386</v>
      </c>
      <c r="C2755" s="514">
        <v>0</v>
      </c>
      <c r="D2755" s="514">
        <v>0</v>
      </c>
      <c r="E2755" s="514">
        <v>0</v>
      </c>
      <c r="F2755" s="514">
        <v>0</v>
      </c>
      <c r="G2755" s="514">
        <v>0</v>
      </c>
      <c r="H2755" s="514">
        <v>0</v>
      </c>
      <c r="I2755" s="514">
        <v>0</v>
      </c>
      <c r="J2755" s="514">
        <v>0</v>
      </c>
      <c r="K2755" s="514">
        <v>0</v>
      </c>
      <c r="L2755" s="514">
        <v>0</v>
      </c>
      <c r="M2755" s="514">
        <v>0</v>
      </c>
      <c r="N2755" s="514">
        <v>0</v>
      </c>
      <c r="O2755" s="499"/>
      <c r="P2755" s="499"/>
      <c r="Q2755" s="499"/>
    </row>
    <row r="2756" spans="1:17" ht="14.4" x14ac:dyDescent="0.3">
      <c r="A2756" s="502" t="s">
        <v>4387</v>
      </c>
      <c r="B2756" s="503" t="s">
        <v>4388</v>
      </c>
      <c r="C2756" s="514">
        <v>0</v>
      </c>
      <c r="D2756" s="514">
        <v>0</v>
      </c>
      <c r="E2756" s="514">
        <v>0</v>
      </c>
      <c r="F2756" s="514">
        <v>0</v>
      </c>
      <c r="G2756" s="514">
        <v>0</v>
      </c>
      <c r="H2756" s="514">
        <v>0</v>
      </c>
      <c r="I2756" s="514">
        <v>0</v>
      </c>
      <c r="J2756" s="514">
        <v>0</v>
      </c>
      <c r="K2756" s="514">
        <v>0</v>
      </c>
      <c r="L2756" s="514">
        <v>0</v>
      </c>
      <c r="M2756" s="514">
        <v>0</v>
      </c>
      <c r="N2756" s="514">
        <v>0</v>
      </c>
      <c r="O2756" s="499"/>
      <c r="P2756" s="499"/>
      <c r="Q2756" s="499"/>
    </row>
    <row r="2757" spans="1:17" ht="14.4" x14ac:dyDescent="0.3">
      <c r="A2757" s="502" t="s">
        <v>4389</v>
      </c>
      <c r="B2757" s="503" t="s">
        <v>4390</v>
      </c>
      <c r="C2757" s="514">
        <v>0</v>
      </c>
      <c r="D2757" s="514">
        <v>0</v>
      </c>
      <c r="E2757" s="514">
        <v>0</v>
      </c>
      <c r="F2757" s="514">
        <v>0</v>
      </c>
      <c r="G2757" s="514">
        <v>0</v>
      </c>
      <c r="H2757" s="514">
        <v>0</v>
      </c>
      <c r="I2757" s="514">
        <v>0</v>
      </c>
      <c r="J2757" s="514">
        <v>0</v>
      </c>
      <c r="K2757" s="514">
        <v>0</v>
      </c>
      <c r="L2757" s="514">
        <v>0</v>
      </c>
      <c r="M2757" s="514">
        <v>0</v>
      </c>
      <c r="N2757" s="514">
        <v>0</v>
      </c>
      <c r="O2757" s="499"/>
      <c r="P2757" s="499"/>
      <c r="Q2757" s="499"/>
    </row>
    <row r="2758" spans="1:17" ht="14.4" x14ac:dyDescent="0.3">
      <c r="A2758" s="502" t="s">
        <v>4391</v>
      </c>
      <c r="B2758" s="503" t="s">
        <v>4392</v>
      </c>
      <c r="C2758" s="514">
        <v>0</v>
      </c>
      <c r="D2758" s="514">
        <v>0</v>
      </c>
      <c r="E2758" s="514">
        <v>0</v>
      </c>
      <c r="F2758" s="514">
        <v>0</v>
      </c>
      <c r="G2758" s="514">
        <v>0</v>
      </c>
      <c r="H2758" s="514">
        <v>0</v>
      </c>
      <c r="I2758" s="514">
        <v>0</v>
      </c>
      <c r="J2758" s="514">
        <v>0</v>
      </c>
      <c r="K2758" s="514">
        <v>0</v>
      </c>
      <c r="L2758" s="514">
        <v>0</v>
      </c>
      <c r="M2758" s="514">
        <v>0</v>
      </c>
      <c r="N2758" s="514">
        <v>0</v>
      </c>
      <c r="O2758" s="499"/>
      <c r="P2758" s="499"/>
      <c r="Q2758" s="499"/>
    </row>
    <row r="2759" spans="1:17" ht="14.4" x14ac:dyDescent="0.3">
      <c r="A2759" s="502" t="s">
        <v>4393</v>
      </c>
      <c r="B2759" s="503" t="s">
        <v>4394</v>
      </c>
      <c r="C2759" s="514">
        <v>0</v>
      </c>
      <c r="D2759" s="514">
        <v>0</v>
      </c>
      <c r="E2759" s="514">
        <v>0</v>
      </c>
      <c r="F2759" s="514">
        <v>0</v>
      </c>
      <c r="G2759" s="514">
        <v>0</v>
      </c>
      <c r="H2759" s="514">
        <v>0</v>
      </c>
      <c r="I2759" s="514">
        <v>0</v>
      </c>
      <c r="J2759" s="514">
        <v>0</v>
      </c>
      <c r="K2759" s="514">
        <v>0</v>
      </c>
      <c r="L2759" s="514">
        <v>0</v>
      </c>
      <c r="M2759" s="514">
        <v>0</v>
      </c>
      <c r="N2759" s="514">
        <v>0</v>
      </c>
      <c r="O2759" s="499"/>
      <c r="P2759" s="499"/>
      <c r="Q2759" s="499"/>
    </row>
    <row r="2760" spans="1:17" ht="14.4" x14ac:dyDescent="0.3">
      <c r="A2760" s="502" t="s">
        <v>4395</v>
      </c>
      <c r="B2760" s="503" t="s">
        <v>1628</v>
      </c>
      <c r="C2760" s="514">
        <v>22628</v>
      </c>
      <c r="D2760" s="514">
        <v>33096</v>
      </c>
      <c r="E2760" s="514">
        <v>41758</v>
      </c>
      <c r="F2760" s="514">
        <v>48357</v>
      </c>
      <c r="G2760" s="514">
        <v>49336</v>
      </c>
      <c r="H2760" s="514">
        <v>43071</v>
      </c>
      <c r="I2760" s="514">
        <v>33141</v>
      </c>
      <c r="J2760" s="514">
        <v>27756</v>
      </c>
      <c r="K2760" s="514">
        <v>14056</v>
      </c>
      <c r="L2760" s="514">
        <v>0</v>
      </c>
      <c r="M2760" s="514">
        <v>0</v>
      </c>
      <c r="N2760" s="514">
        <v>0</v>
      </c>
      <c r="O2760" s="499"/>
      <c r="P2760" s="499"/>
      <c r="Q2760" s="499"/>
    </row>
    <row r="2761" spans="1:17" ht="14.4" x14ac:dyDescent="0.3">
      <c r="A2761" s="502" t="s">
        <v>4396</v>
      </c>
      <c r="B2761" s="503" t="s">
        <v>1630</v>
      </c>
      <c r="C2761" s="514">
        <v>4152</v>
      </c>
      <c r="D2761" s="514">
        <v>9271</v>
      </c>
      <c r="E2761" s="514">
        <v>11279</v>
      </c>
      <c r="F2761" s="514">
        <v>12301</v>
      </c>
      <c r="G2761" s="514">
        <v>13229</v>
      </c>
      <c r="H2761" s="514">
        <v>12163</v>
      </c>
      <c r="I2761" s="514">
        <v>10849</v>
      </c>
      <c r="J2761" s="514">
        <v>9539</v>
      </c>
      <c r="K2761" s="514">
        <v>8366</v>
      </c>
      <c r="L2761" s="514">
        <v>7133</v>
      </c>
      <c r="M2761" s="514">
        <v>6026</v>
      </c>
      <c r="N2761" s="514">
        <v>5132</v>
      </c>
      <c r="O2761" s="499"/>
      <c r="P2761" s="499"/>
      <c r="Q2761" s="499"/>
    </row>
    <row r="2762" spans="1:17" ht="14.4" x14ac:dyDescent="0.3">
      <c r="A2762" s="502" t="s">
        <v>4397</v>
      </c>
      <c r="B2762" s="503" t="s">
        <v>4398</v>
      </c>
      <c r="C2762" s="514">
        <v>0</v>
      </c>
      <c r="D2762" s="514">
        <v>0</v>
      </c>
      <c r="E2762" s="514">
        <v>0</v>
      </c>
      <c r="F2762" s="514">
        <v>0</v>
      </c>
      <c r="G2762" s="514">
        <v>0</v>
      </c>
      <c r="H2762" s="514">
        <v>0</v>
      </c>
      <c r="I2762" s="514">
        <v>0</v>
      </c>
      <c r="J2762" s="514">
        <v>0</v>
      </c>
      <c r="K2762" s="514">
        <v>0</v>
      </c>
      <c r="L2762" s="514">
        <v>0</v>
      </c>
      <c r="M2762" s="514">
        <v>0</v>
      </c>
      <c r="N2762" s="514">
        <v>0</v>
      </c>
      <c r="O2762" s="499"/>
      <c r="P2762" s="499"/>
      <c r="Q2762" s="499"/>
    </row>
    <row r="2763" spans="1:17" ht="14.4" x14ac:dyDescent="0.3">
      <c r="A2763" s="502" t="s">
        <v>4399</v>
      </c>
      <c r="B2763" s="503" t="s">
        <v>4400</v>
      </c>
      <c r="C2763" s="514">
        <v>0</v>
      </c>
      <c r="D2763" s="514">
        <v>0</v>
      </c>
      <c r="E2763" s="514">
        <v>0</v>
      </c>
      <c r="F2763" s="514">
        <v>0</v>
      </c>
      <c r="G2763" s="514">
        <v>0</v>
      </c>
      <c r="H2763" s="514">
        <v>0</v>
      </c>
      <c r="I2763" s="514">
        <v>0</v>
      </c>
      <c r="J2763" s="514">
        <v>0</v>
      </c>
      <c r="K2763" s="514">
        <v>0</v>
      </c>
      <c r="L2763" s="514">
        <v>0</v>
      </c>
      <c r="M2763" s="514">
        <v>0</v>
      </c>
      <c r="N2763" s="514">
        <v>0</v>
      </c>
      <c r="O2763" s="499"/>
      <c r="P2763" s="499"/>
      <c r="Q2763" s="499"/>
    </row>
    <row r="2764" spans="1:17" ht="14.4" x14ac:dyDescent="0.3">
      <c r="A2764" s="502" t="s">
        <v>4401</v>
      </c>
      <c r="B2764" s="503" t="s">
        <v>4402</v>
      </c>
      <c r="C2764" s="514">
        <v>0</v>
      </c>
      <c r="D2764" s="514">
        <v>0</v>
      </c>
      <c r="E2764" s="514">
        <v>0</v>
      </c>
      <c r="F2764" s="514">
        <v>0</v>
      </c>
      <c r="G2764" s="514">
        <v>0</v>
      </c>
      <c r="H2764" s="514">
        <v>0</v>
      </c>
      <c r="I2764" s="514">
        <v>0</v>
      </c>
      <c r="J2764" s="514">
        <v>0</v>
      </c>
      <c r="K2764" s="514">
        <v>0</v>
      </c>
      <c r="L2764" s="514">
        <v>0</v>
      </c>
      <c r="M2764" s="514">
        <v>0</v>
      </c>
      <c r="N2764" s="514">
        <v>0</v>
      </c>
      <c r="O2764" s="499"/>
      <c r="P2764" s="499"/>
      <c r="Q2764" s="499"/>
    </row>
    <row r="2765" spans="1:17" ht="14.4" x14ac:dyDescent="0.3">
      <c r="A2765" s="502" t="s">
        <v>4403</v>
      </c>
      <c r="B2765" s="503" t="s">
        <v>4404</v>
      </c>
      <c r="C2765" s="514">
        <v>0</v>
      </c>
      <c r="D2765" s="514">
        <v>0</v>
      </c>
      <c r="E2765" s="514">
        <v>0</v>
      </c>
      <c r="F2765" s="514">
        <v>0</v>
      </c>
      <c r="G2765" s="514">
        <v>0</v>
      </c>
      <c r="H2765" s="514">
        <v>0</v>
      </c>
      <c r="I2765" s="514">
        <v>0</v>
      </c>
      <c r="J2765" s="514">
        <v>0</v>
      </c>
      <c r="K2765" s="514">
        <v>0</v>
      </c>
      <c r="L2765" s="514">
        <v>0</v>
      </c>
      <c r="M2765" s="514">
        <v>0</v>
      </c>
      <c r="N2765" s="514">
        <v>0</v>
      </c>
      <c r="O2765" s="499"/>
      <c r="P2765" s="499"/>
      <c r="Q2765" s="499"/>
    </row>
    <row r="2766" spans="1:17" ht="14.4" x14ac:dyDescent="0.3">
      <c r="A2766" s="502" t="s">
        <v>4405</v>
      </c>
      <c r="B2766" s="503" t="s">
        <v>4406</v>
      </c>
      <c r="C2766" s="514">
        <v>0</v>
      </c>
      <c r="D2766" s="514">
        <v>0</v>
      </c>
      <c r="E2766" s="514">
        <v>0</v>
      </c>
      <c r="F2766" s="514">
        <v>0</v>
      </c>
      <c r="G2766" s="514">
        <v>0</v>
      </c>
      <c r="H2766" s="514">
        <v>0</v>
      </c>
      <c r="I2766" s="514">
        <v>0</v>
      </c>
      <c r="J2766" s="514">
        <v>0</v>
      </c>
      <c r="K2766" s="514">
        <v>0</v>
      </c>
      <c r="L2766" s="514">
        <v>0</v>
      </c>
      <c r="M2766" s="514">
        <v>0</v>
      </c>
      <c r="N2766" s="514">
        <v>0</v>
      </c>
      <c r="O2766" s="499"/>
      <c r="P2766" s="499"/>
      <c r="Q2766" s="499"/>
    </row>
    <row r="2767" spans="1:17" ht="14.4" x14ac:dyDescent="0.3">
      <c r="A2767" s="502" t="s">
        <v>4407</v>
      </c>
      <c r="B2767" s="503" t="s">
        <v>1632</v>
      </c>
      <c r="C2767" s="514">
        <v>4236</v>
      </c>
      <c r="D2767" s="514">
        <v>8039</v>
      </c>
      <c r="E2767" s="514">
        <v>13743</v>
      </c>
      <c r="F2767" s="514">
        <v>19234</v>
      </c>
      <c r="G2767" s="514">
        <v>22750</v>
      </c>
      <c r="H2767" s="514">
        <v>23213</v>
      </c>
      <c r="I2767" s="514">
        <v>20421</v>
      </c>
      <c r="J2767" s="514">
        <v>17154</v>
      </c>
      <c r="K2767" s="514">
        <v>14143</v>
      </c>
      <c r="L2767" s="514">
        <v>12674</v>
      </c>
      <c r="M2767" s="514">
        <v>15427</v>
      </c>
      <c r="N2767" s="514">
        <v>21568</v>
      </c>
      <c r="O2767" s="499"/>
      <c r="P2767" s="499"/>
      <c r="Q2767" s="499"/>
    </row>
    <row r="2768" spans="1:17" ht="14.4" x14ac:dyDescent="0.3">
      <c r="A2768" s="502" t="s">
        <v>4408</v>
      </c>
      <c r="B2768" s="503" t="s">
        <v>1642</v>
      </c>
      <c r="C2768" s="514">
        <v>366201.46</v>
      </c>
      <c r="D2768" s="514">
        <v>366201.46</v>
      </c>
      <c r="E2768" s="514">
        <v>366201.46</v>
      </c>
      <c r="F2768" s="514">
        <v>366201.46</v>
      </c>
      <c r="G2768" s="514">
        <v>366201.46</v>
      </c>
      <c r="H2768" s="514">
        <v>366201.46</v>
      </c>
      <c r="I2768" s="514">
        <v>366201.46</v>
      </c>
      <c r="J2768" s="514">
        <v>366201.46</v>
      </c>
      <c r="K2768" s="514">
        <v>366201.46</v>
      </c>
      <c r="L2768" s="514">
        <v>366201.46</v>
      </c>
      <c r="M2768" s="514">
        <v>366201.46</v>
      </c>
      <c r="N2768" s="514">
        <v>366201.44</v>
      </c>
      <c r="O2768" s="499"/>
      <c r="P2768" s="499"/>
      <c r="Q2768" s="499"/>
    </row>
    <row r="2769" spans="1:17" ht="14.4" x14ac:dyDescent="0.3">
      <c r="A2769" s="502" t="s">
        <v>4409</v>
      </c>
      <c r="B2769" s="503" t="s">
        <v>1652</v>
      </c>
      <c r="C2769" s="514">
        <v>0</v>
      </c>
      <c r="D2769" s="514">
        <v>0</v>
      </c>
      <c r="E2769" s="514">
        <v>0</v>
      </c>
      <c r="F2769" s="514">
        <v>0</v>
      </c>
      <c r="G2769" s="514">
        <v>0</v>
      </c>
      <c r="H2769" s="514">
        <v>0</v>
      </c>
      <c r="I2769" s="514">
        <v>0</v>
      </c>
      <c r="J2769" s="514">
        <v>0</v>
      </c>
      <c r="K2769" s="514">
        <v>0</v>
      </c>
      <c r="L2769" s="514">
        <v>0</v>
      </c>
      <c r="M2769" s="514">
        <v>0</v>
      </c>
      <c r="N2769" s="514">
        <v>0</v>
      </c>
      <c r="O2769" s="499"/>
      <c r="P2769" s="499"/>
      <c r="Q2769" s="499"/>
    </row>
    <row r="2770" spans="1:17" ht="14.4" x14ac:dyDescent="0.3">
      <c r="A2770" s="502" t="s">
        <v>4410</v>
      </c>
      <c r="B2770" s="503" t="s">
        <v>1634</v>
      </c>
      <c r="C2770" s="514">
        <v>0</v>
      </c>
      <c r="D2770" s="514">
        <v>0</v>
      </c>
      <c r="E2770" s="514">
        <v>0</v>
      </c>
      <c r="F2770" s="514">
        <v>0</v>
      </c>
      <c r="G2770" s="514">
        <v>0</v>
      </c>
      <c r="H2770" s="514">
        <v>0</v>
      </c>
      <c r="I2770" s="514">
        <v>0</v>
      </c>
      <c r="J2770" s="514">
        <v>0</v>
      </c>
      <c r="K2770" s="514">
        <v>0</v>
      </c>
      <c r="L2770" s="514">
        <v>0</v>
      </c>
      <c r="M2770" s="514">
        <v>0</v>
      </c>
      <c r="N2770" s="514">
        <v>0</v>
      </c>
      <c r="O2770" s="499"/>
      <c r="P2770" s="499"/>
      <c r="Q2770" s="499"/>
    </row>
    <row r="2771" spans="1:17" ht="14.4" x14ac:dyDescent="0.3">
      <c r="A2771" s="502" t="s">
        <v>4411</v>
      </c>
      <c r="B2771" s="503" t="s">
        <v>4412</v>
      </c>
      <c r="C2771" s="514">
        <v>0</v>
      </c>
      <c r="D2771" s="514">
        <v>0</v>
      </c>
      <c r="E2771" s="514">
        <v>0</v>
      </c>
      <c r="F2771" s="514">
        <v>0</v>
      </c>
      <c r="G2771" s="514">
        <v>0</v>
      </c>
      <c r="H2771" s="514">
        <v>0</v>
      </c>
      <c r="I2771" s="514">
        <v>0</v>
      </c>
      <c r="J2771" s="514">
        <v>0</v>
      </c>
      <c r="K2771" s="514">
        <v>0</v>
      </c>
      <c r="L2771" s="514">
        <v>0</v>
      </c>
      <c r="M2771" s="514">
        <v>0</v>
      </c>
      <c r="N2771" s="514">
        <v>0</v>
      </c>
      <c r="O2771" s="499"/>
      <c r="P2771" s="499"/>
      <c r="Q2771" s="499"/>
    </row>
    <row r="2772" spans="1:17" ht="14.4" x14ac:dyDescent="0.3">
      <c r="A2772" s="502" t="s">
        <v>4413</v>
      </c>
      <c r="B2772" s="503" t="s">
        <v>4414</v>
      </c>
      <c r="C2772" s="514">
        <v>0</v>
      </c>
      <c r="D2772" s="514">
        <v>0</v>
      </c>
      <c r="E2772" s="514">
        <v>0</v>
      </c>
      <c r="F2772" s="514">
        <v>0</v>
      </c>
      <c r="G2772" s="514">
        <v>0</v>
      </c>
      <c r="H2772" s="514">
        <v>0</v>
      </c>
      <c r="I2772" s="514">
        <v>0</v>
      </c>
      <c r="J2772" s="514">
        <v>0</v>
      </c>
      <c r="K2772" s="514">
        <v>0</v>
      </c>
      <c r="L2772" s="514">
        <v>0</v>
      </c>
      <c r="M2772" s="514">
        <v>0</v>
      </c>
      <c r="N2772" s="514">
        <v>0</v>
      </c>
      <c r="O2772" s="499"/>
      <c r="P2772" s="499"/>
      <c r="Q2772" s="499"/>
    </row>
    <row r="2773" spans="1:17" ht="14.4" x14ac:dyDescent="0.3">
      <c r="A2773" s="502" t="s">
        <v>4415</v>
      </c>
      <c r="B2773" s="503" t="s">
        <v>4416</v>
      </c>
      <c r="C2773" s="514">
        <v>0</v>
      </c>
      <c r="D2773" s="514">
        <v>0</v>
      </c>
      <c r="E2773" s="514">
        <v>0</v>
      </c>
      <c r="F2773" s="514">
        <v>0</v>
      </c>
      <c r="G2773" s="514">
        <v>0</v>
      </c>
      <c r="H2773" s="514">
        <v>0</v>
      </c>
      <c r="I2773" s="514">
        <v>0</v>
      </c>
      <c r="J2773" s="514">
        <v>0</v>
      </c>
      <c r="K2773" s="514">
        <v>0</v>
      </c>
      <c r="L2773" s="514">
        <v>0</v>
      </c>
      <c r="M2773" s="514">
        <v>0</v>
      </c>
      <c r="N2773" s="514">
        <v>0</v>
      </c>
      <c r="O2773" s="499"/>
      <c r="P2773" s="499"/>
      <c r="Q2773" s="499"/>
    </row>
    <row r="2774" spans="1:17" ht="14.4" x14ac:dyDescent="0.3">
      <c r="A2774" s="502" t="s">
        <v>4417</v>
      </c>
      <c r="B2774" s="503" t="s">
        <v>4418</v>
      </c>
      <c r="C2774" s="514">
        <v>0</v>
      </c>
      <c r="D2774" s="514">
        <v>0</v>
      </c>
      <c r="E2774" s="514">
        <v>0</v>
      </c>
      <c r="F2774" s="514">
        <v>0</v>
      </c>
      <c r="G2774" s="514">
        <v>0</v>
      </c>
      <c r="H2774" s="514">
        <v>0</v>
      </c>
      <c r="I2774" s="514">
        <v>0</v>
      </c>
      <c r="J2774" s="514">
        <v>0</v>
      </c>
      <c r="K2774" s="514">
        <v>0</v>
      </c>
      <c r="L2774" s="514">
        <v>0</v>
      </c>
      <c r="M2774" s="514">
        <v>0</v>
      </c>
      <c r="N2774" s="514">
        <v>0</v>
      </c>
      <c r="O2774" s="499"/>
      <c r="P2774" s="499"/>
      <c r="Q2774" s="499"/>
    </row>
    <row r="2775" spans="1:17" ht="14.4" x14ac:dyDescent="0.3">
      <c r="A2775" s="502" t="s">
        <v>4419</v>
      </c>
      <c r="B2775" s="503" t="s">
        <v>4420</v>
      </c>
      <c r="C2775" s="514">
        <v>0</v>
      </c>
      <c r="D2775" s="514">
        <v>0</v>
      </c>
      <c r="E2775" s="514">
        <v>0</v>
      </c>
      <c r="F2775" s="514">
        <v>0</v>
      </c>
      <c r="G2775" s="514">
        <v>0</v>
      </c>
      <c r="H2775" s="514">
        <v>0</v>
      </c>
      <c r="I2775" s="514">
        <v>0</v>
      </c>
      <c r="J2775" s="514">
        <v>0</v>
      </c>
      <c r="K2775" s="514">
        <v>0</v>
      </c>
      <c r="L2775" s="514">
        <v>0</v>
      </c>
      <c r="M2775" s="514">
        <v>0</v>
      </c>
      <c r="N2775" s="514">
        <v>0</v>
      </c>
      <c r="O2775" s="499"/>
      <c r="P2775" s="499"/>
      <c r="Q2775" s="499"/>
    </row>
    <row r="2776" spans="1:17" ht="14.4" x14ac:dyDescent="0.3">
      <c r="A2776" s="502" t="s">
        <v>4421</v>
      </c>
      <c r="B2776" s="503" t="s">
        <v>1658</v>
      </c>
      <c r="C2776" s="514">
        <v>0</v>
      </c>
      <c r="D2776" s="514">
        <v>0</v>
      </c>
      <c r="E2776" s="514">
        <v>0</v>
      </c>
      <c r="F2776" s="514">
        <v>0</v>
      </c>
      <c r="G2776" s="514">
        <v>0</v>
      </c>
      <c r="H2776" s="514">
        <v>0</v>
      </c>
      <c r="I2776" s="514">
        <v>0</v>
      </c>
      <c r="J2776" s="514">
        <v>0</v>
      </c>
      <c r="K2776" s="514">
        <v>0</v>
      </c>
      <c r="L2776" s="514">
        <v>0</v>
      </c>
      <c r="M2776" s="514">
        <v>0</v>
      </c>
      <c r="N2776" s="514">
        <v>0</v>
      </c>
      <c r="O2776" s="499"/>
      <c r="P2776" s="499"/>
      <c r="Q2776" s="499"/>
    </row>
    <row r="2777" spans="1:17" ht="14.4" x14ac:dyDescent="0.3">
      <c r="A2777" s="502" t="s">
        <v>4422</v>
      </c>
      <c r="B2777" s="503" t="s">
        <v>4423</v>
      </c>
      <c r="C2777" s="514">
        <v>0</v>
      </c>
      <c r="D2777" s="514">
        <v>0</v>
      </c>
      <c r="E2777" s="514">
        <v>0</v>
      </c>
      <c r="F2777" s="514">
        <v>0</v>
      </c>
      <c r="G2777" s="514">
        <v>0</v>
      </c>
      <c r="H2777" s="514">
        <v>0</v>
      </c>
      <c r="I2777" s="514">
        <v>0</v>
      </c>
      <c r="J2777" s="514">
        <v>0</v>
      </c>
      <c r="K2777" s="514">
        <v>0</v>
      </c>
      <c r="L2777" s="514">
        <v>0</v>
      </c>
      <c r="M2777" s="514">
        <v>0</v>
      </c>
      <c r="N2777" s="514">
        <v>0</v>
      </c>
      <c r="O2777" s="499"/>
      <c r="P2777" s="499"/>
      <c r="Q2777" s="499"/>
    </row>
    <row r="2778" spans="1:17" ht="14.4" x14ac:dyDescent="0.3">
      <c r="A2778" s="502" t="s">
        <v>4424</v>
      </c>
      <c r="B2778" s="503" t="s">
        <v>4425</v>
      </c>
      <c r="C2778" s="514">
        <v>0</v>
      </c>
      <c r="D2778" s="514">
        <v>0</v>
      </c>
      <c r="E2778" s="514">
        <v>0</v>
      </c>
      <c r="F2778" s="514">
        <v>0</v>
      </c>
      <c r="G2778" s="514">
        <v>0</v>
      </c>
      <c r="H2778" s="514">
        <v>0</v>
      </c>
      <c r="I2778" s="514">
        <v>0</v>
      </c>
      <c r="J2778" s="514">
        <v>0</v>
      </c>
      <c r="K2778" s="514">
        <v>0</v>
      </c>
      <c r="L2778" s="514">
        <v>0</v>
      </c>
      <c r="M2778" s="514">
        <v>0</v>
      </c>
      <c r="N2778" s="514">
        <v>0</v>
      </c>
      <c r="O2778" s="499"/>
      <c r="P2778" s="499"/>
      <c r="Q2778" s="499"/>
    </row>
    <row r="2779" spans="1:17" ht="14.4" x14ac:dyDescent="0.3">
      <c r="A2779" s="502" t="s">
        <v>4426</v>
      </c>
      <c r="B2779" s="503" t="s">
        <v>4427</v>
      </c>
      <c r="C2779" s="514">
        <v>0</v>
      </c>
      <c r="D2779" s="514">
        <v>0</v>
      </c>
      <c r="E2779" s="514">
        <v>0</v>
      </c>
      <c r="F2779" s="514">
        <v>0</v>
      </c>
      <c r="G2779" s="514">
        <v>0</v>
      </c>
      <c r="H2779" s="514">
        <v>0</v>
      </c>
      <c r="I2779" s="514">
        <v>0</v>
      </c>
      <c r="J2779" s="514">
        <v>0</v>
      </c>
      <c r="K2779" s="514">
        <v>0</v>
      </c>
      <c r="L2779" s="514">
        <v>0</v>
      </c>
      <c r="M2779" s="514">
        <v>0</v>
      </c>
      <c r="N2779" s="514">
        <v>0</v>
      </c>
      <c r="O2779" s="499"/>
      <c r="P2779" s="499"/>
      <c r="Q2779" s="499"/>
    </row>
    <row r="2780" spans="1:17" ht="14.4" x14ac:dyDescent="0.3">
      <c r="A2780" s="502" t="s">
        <v>4428</v>
      </c>
      <c r="B2780" s="503" t="s">
        <v>4429</v>
      </c>
      <c r="C2780" s="514">
        <v>0</v>
      </c>
      <c r="D2780" s="514">
        <v>0</v>
      </c>
      <c r="E2780" s="514">
        <v>0</v>
      </c>
      <c r="F2780" s="514">
        <v>0</v>
      </c>
      <c r="G2780" s="514">
        <v>0</v>
      </c>
      <c r="H2780" s="514">
        <v>0</v>
      </c>
      <c r="I2780" s="514">
        <v>0</v>
      </c>
      <c r="J2780" s="514">
        <v>0</v>
      </c>
      <c r="K2780" s="514">
        <v>0</v>
      </c>
      <c r="L2780" s="514">
        <v>0</v>
      </c>
      <c r="M2780" s="514">
        <v>0</v>
      </c>
      <c r="N2780" s="514">
        <v>0</v>
      </c>
      <c r="O2780" s="499"/>
      <c r="P2780" s="499"/>
      <c r="Q2780" s="499"/>
    </row>
    <row r="2781" spans="1:17" ht="14.4" x14ac:dyDescent="0.3">
      <c r="A2781" s="502" t="s">
        <v>4430</v>
      </c>
      <c r="B2781" s="503" t="s">
        <v>4431</v>
      </c>
      <c r="C2781" s="514">
        <v>0</v>
      </c>
      <c r="D2781" s="514">
        <v>0</v>
      </c>
      <c r="E2781" s="514">
        <v>0</v>
      </c>
      <c r="F2781" s="514">
        <v>0</v>
      </c>
      <c r="G2781" s="514">
        <v>0</v>
      </c>
      <c r="H2781" s="514">
        <v>0</v>
      </c>
      <c r="I2781" s="514">
        <v>0</v>
      </c>
      <c r="J2781" s="514">
        <v>0</v>
      </c>
      <c r="K2781" s="514">
        <v>0</v>
      </c>
      <c r="L2781" s="514">
        <v>0</v>
      </c>
      <c r="M2781" s="514">
        <v>0</v>
      </c>
      <c r="N2781" s="514">
        <v>0</v>
      </c>
      <c r="O2781" s="499"/>
      <c r="P2781" s="499"/>
      <c r="Q2781" s="499"/>
    </row>
    <row r="2782" spans="1:17" ht="14.4" x14ac:dyDescent="0.3">
      <c r="A2782" s="502" t="s">
        <v>4432</v>
      </c>
      <c r="B2782" s="503" t="s">
        <v>4433</v>
      </c>
      <c r="C2782" s="514">
        <v>0</v>
      </c>
      <c r="D2782" s="514">
        <v>0</v>
      </c>
      <c r="E2782" s="514">
        <v>0</v>
      </c>
      <c r="F2782" s="514">
        <v>0</v>
      </c>
      <c r="G2782" s="514">
        <v>0</v>
      </c>
      <c r="H2782" s="514">
        <v>0</v>
      </c>
      <c r="I2782" s="514">
        <v>0</v>
      </c>
      <c r="J2782" s="514">
        <v>0</v>
      </c>
      <c r="K2782" s="514">
        <v>0</v>
      </c>
      <c r="L2782" s="514">
        <v>0</v>
      </c>
      <c r="M2782" s="514">
        <v>0</v>
      </c>
      <c r="N2782" s="514">
        <v>0</v>
      </c>
      <c r="O2782" s="499"/>
      <c r="P2782" s="499"/>
      <c r="Q2782" s="499"/>
    </row>
    <row r="2783" spans="1:17" ht="14.4" x14ac:dyDescent="0.3">
      <c r="A2783" s="502" t="s">
        <v>4434</v>
      </c>
      <c r="B2783" s="503" t="s">
        <v>1660</v>
      </c>
      <c r="C2783" s="514">
        <v>0</v>
      </c>
      <c r="D2783" s="514">
        <v>0</v>
      </c>
      <c r="E2783" s="514">
        <v>0</v>
      </c>
      <c r="F2783" s="514">
        <v>0</v>
      </c>
      <c r="G2783" s="514">
        <v>0</v>
      </c>
      <c r="H2783" s="514">
        <v>0</v>
      </c>
      <c r="I2783" s="514">
        <v>0</v>
      </c>
      <c r="J2783" s="514">
        <v>0</v>
      </c>
      <c r="K2783" s="514">
        <v>0</v>
      </c>
      <c r="L2783" s="514">
        <v>0</v>
      </c>
      <c r="M2783" s="514">
        <v>0</v>
      </c>
      <c r="N2783" s="514">
        <v>0</v>
      </c>
      <c r="O2783" s="499"/>
      <c r="P2783" s="499"/>
      <c r="Q2783" s="499"/>
    </row>
    <row r="2784" spans="1:17" ht="14.4" x14ac:dyDescent="0.3">
      <c r="A2784" s="502" t="s">
        <v>4435</v>
      </c>
      <c r="B2784" s="503" t="s">
        <v>4436</v>
      </c>
      <c r="C2784" s="514">
        <v>0</v>
      </c>
      <c r="D2784" s="514">
        <v>0</v>
      </c>
      <c r="E2784" s="514">
        <v>0</v>
      </c>
      <c r="F2784" s="514">
        <v>0</v>
      </c>
      <c r="G2784" s="514">
        <v>0</v>
      </c>
      <c r="H2784" s="514">
        <v>0</v>
      </c>
      <c r="I2784" s="514">
        <v>0</v>
      </c>
      <c r="J2784" s="514">
        <v>0</v>
      </c>
      <c r="K2784" s="514">
        <v>0</v>
      </c>
      <c r="L2784" s="514">
        <v>0</v>
      </c>
      <c r="M2784" s="514">
        <v>0</v>
      </c>
      <c r="N2784" s="514">
        <v>0</v>
      </c>
      <c r="O2784" s="499"/>
      <c r="P2784" s="499"/>
      <c r="Q2784" s="499"/>
    </row>
    <row r="2785" spans="1:17" ht="14.4" x14ac:dyDescent="0.3">
      <c r="A2785" s="502" t="s">
        <v>4437</v>
      </c>
      <c r="B2785" s="503" t="s">
        <v>4438</v>
      </c>
      <c r="C2785" s="514">
        <v>0</v>
      </c>
      <c r="D2785" s="514">
        <v>0</v>
      </c>
      <c r="E2785" s="514">
        <v>0</v>
      </c>
      <c r="F2785" s="514">
        <v>0</v>
      </c>
      <c r="G2785" s="514">
        <v>0</v>
      </c>
      <c r="H2785" s="514">
        <v>0</v>
      </c>
      <c r="I2785" s="514">
        <v>0</v>
      </c>
      <c r="J2785" s="514">
        <v>0</v>
      </c>
      <c r="K2785" s="514">
        <v>0</v>
      </c>
      <c r="L2785" s="514">
        <v>0</v>
      </c>
      <c r="M2785" s="514">
        <v>0</v>
      </c>
      <c r="N2785" s="514">
        <v>0</v>
      </c>
      <c r="O2785" s="499"/>
      <c r="P2785" s="499"/>
      <c r="Q2785" s="499"/>
    </row>
    <row r="2786" spans="1:17" ht="14.4" x14ac:dyDescent="0.3">
      <c r="A2786" s="502" t="s">
        <v>4439</v>
      </c>
      <c r="B2786" s="503" t="s">
        <v>4440</v>
      </c>
      <c r="C2786" s="514">
        <v>0</v>
      </c>
      <c r="D2786" s="514">
        <v>0</v>
      </c>
      <c r="E2786" s="514">
        <v>0</v>
      </c>
      <c r="F2786" s="514">
        <v>0</v>
      </c>
      <c r="G2786" s="514">
        <v>0</v>
      </c>
      <c r="H2786" s="514">
        <v>0</v>
      </c>
      <c r="I2786" s="514">
        <v>0</v>
      </c>
      <c r="J2786" s="514">
        <v>0</v>
      </c>
      <c r="K2786" s="514">
        <v>0</v>
      </c>
      <c r="L2786" s="514">
        <v>0</v>
      </c>
      <c r="M2786" s="514">
        <v>0</v>
      </c>
      <c r="N2786" s="514">
        <v>0</v>
      </c>
      <c r="O2786" s="499"/>
      <c r="P2786" s="499"/>
      <c r="Q2786" s="499"/>
    </row>
    <row r="2787" spans="1:17" ht="14.4" x14ac:dyDescent="0.3">
      <c r="A2787" s="502" t="s">
        <v>4441</v>
      </c>
      <c r="B2787" s="503" t="s">
        <v>4442</v>
      </c>
      <c r="C2787" s="514">
        <v>0</v>
      </c>
      <c r="D2787" s="514">
        <v>0</v>
      </c>
      <c r="E2787" s="514">
        <v>0</v>
      </c>
      <c r="F2787" s="514">
        <v>0</v>
      </c>
      <c r="G2787" s="514">
        <v>0</v>
      </c>
      <c r="H2787" s="514">
        <v>0</v>
      </c>
      <c r="I2787" s="514">
        <v>0</v>
      </c>
      <c r="J2787" s="514">
        <v>0</v>
      </c>
      <c r="K2787" s="514">
        <v>0</v>
      </c>
      <c r="L2787" s="514">
        <v>0</v>
      </c>
      <c r="M2787" s="514">
        <v>0</v>
      </c>
      <c r="N2787" s="514">
        <v>0</v>
      </c>
      <c r="O2787" s="499"/>
      <c r="P2787" s="499"/>
      <c r="Q2787" s="499"/>
    </row>
    <row r="2788" spans="1:17" ht="14.4" x14ac:dyDescent="0.3">
      <c r="A2788" s="502" t="s">
        <v>4443</v>
      </c>
      <c r="B2788" s="503" t="s">
        <v>4444</v>
      </c>
      <c r="C2788" s="514">
        <v>0</v>
      </c>
      <c r="D2788" s="514">
        <v>0</v>
      </c>
      <c r="E2788" s="514">
        <v>0</v>
      </c>
      <c r="F2788" s="514">
        <v>0</v>
      </c>
      <c r="G2788" s="514">
        <v>0</v>
      </c>
      <c r="H2788" s="514">
        <v>0</v>
      </c>
      <c r="I2788" s="514">
        <v>0</v>
      </c>
      <c r="J2788" s="514">
        <v>0</v>
      </c>
      <c r="K2788" s="514">
        <v>0</v>
      </c>
      <c r="L2788" s="514">
        <v>0</v>
      </c>
      <c r="M2788" s="514">
        <v>0</v>
      </c>
      <c r="N2788" s="514">
        <v>0</v>
      </c>
      <c r="O2788" s="499"/>
      <c r="P2788" s="499"/>
      <c r="Q2788" s="499"/>
    </row>
    <row r="2789" spans="1:17" ht="14.4" x14ac:dyDescent="0.3">
      <c r="A2789" s="502" t="s">
        <v>4445</v>
      </c>
      <c r="B2789" s="503" t="s">
        <v>1636</v>
      </c>
      <c r="C2789" s="514">
        <v>60773.73</v>
      </c>
      <c r="D2789" s="514">
        <v>60836.52</v>
      </c>
      <c r="E2789" s="514">
        <v>60899.3</v>
      </c>
      <c r="F2789" s="514">
        <v>59831.99</v>
      </c>
      <c r="G2789" s="514">
        <v>60020.34</v>
      </c>
      <c r="H2789" s="514">
        <v>60271.47</v>
      </c>
      <c r="I2789" s="514">
        <v>60899.3</v>
      </c>
      <c r="J2789" s="514">
        <v>61527.13</v>
      </c>
      <c r="K2789" s="514">
        <v>62154.96</v>
      </c>
      <c r="L2789" s="514">
        <v>61527.13</v>
      </c>
      <c r="M2789" s="514">
        <v>62154.96</v>
      </c>
      <c r="N2789" s="514">
        <v>62154.96</v>
      </c>
      <c r="O2789" s="499"/>
      <c r="P2789" s="499"/>
      <c r="Q2789" s="499"/>
    </row>
    <row r="2790" spans="1:17" ht="14.4" x14ac:dyDescent="0.3">
      <c r="A2790" s="502" t="s">
        <v>4446</v>
      </c>
      <c r="B2790" s="503" t="s">
        <v>1646</v>
      </c>
      <c r="C2790" s="514">
        <v>0</v>
      </c>
      <c r="D2790" s="514">
        <v>0</v>
      </c>
      <c r="E2790" s="514">
        <v>0</v>
      </c>
      <c r="F2790" s="514">
        <v>0</v>
      </c>
      <c r="G2790" s="514">
        <v>0</v>
      </c>
      <c r="H2790" s="514">
        <v>0</v>
      </c>
      <c r="I2790" s="514">
        <v>2724037</v>
      </c>
      <c r="J2790" s="514">
        <v>1775963</v>
      </c>
      <c r="K2790" s="514">
        <v>0</v>
      </c>
      <c r="L2790" s="514">
        <v>0</v>
      </c>
      <c r="M2790" s="514">
        <v>0</v>
      </c>
      <c r="N2790" s="514">
        <v>0</v>
      </c>
      <c r="O2790" s="499"/>
      <c r="P2790" s="499"/>
      <c r="Q2790" s="499"/>
    </row>
    <row r="2791" spans="1:17" ht="14.4" x14ac:dyDescent="0.3">
      <c r="A2791" s="502" t="s">
        <v>4447</v>
      </c>
      <c r="B2791" s="503" t="s">
        <v>1638</v>
      </c>
      <c r="C2791" s="514">
        <v>436226.27</v>
      </c>
      <c r="D2791" s="514">
        <v>461763.48</v>
      </c>
      <c r="E2791" s="514">
        <v>437300.7</v>
      </c>
      <c r="F2791" s="514">
        <v>464968.01</v>
      </c>
      <c r="G2791" s="514">
        <v>431479.66</v>
      </c>
      <c r="H2791" s="514">
        <v>433328.53</v>
      </c>
      <c r="I2791" s="514">
        <v>497800.7</v>
      </c>
      <c r="J2791" s="514">
        <v>442272.87</v>
      </c>
      <c r="K2791" s="514">
        <v>446745.04</v>
      </c>
      <c r="L2791" s="514">
        <v>497472.87</v>
      </c>
      <c r="M2791" s="514">
        <v>446945.04</v>
      </c>
      <c r="N2791" s="514">
        <v>482045.04</v>
      </c>
      <c r="O2791" s="499"/>
      <c r="P2791" s="499"/>
      <c r="Q2791" s="499"/>
    </row>
    <row r="2792" spans="1:17" ht="14.4" x14ac:dyDescent="0.3">
      <c r="A2792" s="502" t="s">
        <v>4448</v>
      </c>
      <c r="B2792" s="503" t="s">
        <v>4449</v>
      </c>
      <c r="C2792" s="514">
        <v>0</v>
      </c>
      <c r="D2792" s="514">
        <v>0</v>
      </c>
      <c r="E2792" s="514">
        <v>0</v>
      </c>
      <c r="F2792" s="514">
        <v>0</v>
      </c>
      <c r="G2792" s="514">
        <v>0</v>
      </c>
      <c r="H2792" s="514">
        <v>0</v>
      </c>
      <c r="I2792" s="514">
        <v>0</v>
      </c>
      <c r="J2792" s="514">
        <v>0</v>
      </c>
      <c r="K2792" s="514">
        <v>0</v>
      </c>
      <c r="L2792" s="514">
        <v>0</v>
      </c>
      <c r="M2792" s="514">
        <v>0</v>
      </c>
      <c r="N2792" s="514">
        <v>0</v>
      </c>
      <c r="O2792" s="499"/>
      <c r="P2792" s="499"/>
      <c r="Q2792" s="499"/>
    </row>
    <row r="2793" spans="1:17" ht="14.4" x14ac:dyDescent="0.3">
      <c r="A2793" s="502" t="s">
        <v>4450</v>
      </c>
      <c r="B2793" s="503" t="s">
        <v>4451</v>
      </c>
      <c r="C2793" s="514">
        <v>0</v>
      </c>
      <c r="D2793" s="514">
        <v>0</v>
      </c>
      <c r="E2793" s="514">
        <v>0</v>
      </c>
      <c r="F2793" s="514">
        <v>0</v>
      </c>
      <c r="G2793" s="514">
        <v>0</v>
      </c>
      <c r="H2793" s="514">
        <v>0</v>
      </c>
      <c r="I2793" s="514">
        <v>0</v>
      </c>
      <c r="J2793" s="514">
        <v>0</v>
      </c>
      <c r="K2793" s="514">
        <v>0</v>
      </c>
      <c r="L2793" s="514">
        <v>0</v>
      </c>
      <c r="M2793" s="514">
        <v>0</v>
      </c>
      <c r="N2793" s="514">
        <v>0</v>
      </c>
      <c r="O2793" s="499"/>
      <c r="P2793" s="499"/>
      <c r="Q2793" s="499"/>
    </row>
    <row r="2794" spans="1:17" ht="14.4" x14ac:dyDescent="0.3">
      <c r="A2794" s="502" t="s">
        <v>4452</v>
      </c>
      <c r="B2794" s="503" t="s">
        <v>4453</v>
      </c>
      <c r="C2794" s="514">
        <v>0</v>
      </c>
      <c r="D2794" s="514">
        <v>0</v>
      </c>
      <c r="E2794" s="514">
        <v>0</v>
      </c>
      <c r="F2794" s="514">
        <v>0</v>
      </c>
      <c r="G2794" s="514">
        <v>0</v>
      </c>
      <c r="H2794" s="514">
        <v>0</v>
      </c>
      <c r="I2794" s="514">
        <v>0</v>
      </c>
      <c r="J2794" s="514">
        <v>0</v>
      </c>
      <c r="K2794" s="514">
        <v>0</v>
      </c>
      <c r="L2794" s="514">
        <v>0</v>
      </c>
      <c r="M2794" s="514">
        <v>0</v>
      </c>
      <c r="N2794" s="514">
        <v>0</v>
      </c>
      <c r="O2794" s="499"/>
      <c r="P2794" s="499"/>
      <c r="Q2794" s="499"/>
    </row>
    <row r="2795" spans="1:17" ht="14.4" x14ac:dyDescent="0.3">
      <c r="A2795" s="502" t="s">
        <v>4454</v>
      </c>
      <c r="B2795" s="503" t="s">
        <v>4455</v>
      </c>
      <c r="C2795" s="514">
        <v>0</v>
      </c>
      <c r="D2795" s="514">
        <v>0</v>
      </c>
      <c r="E2795" s="514">
        <v>0</v>
      </c>
      <c r="F2795" s="514">
        <v>0</v>
      </c>
      <c r="G2795" s="514">
        <v>0</v>
      </c>
      <c r="H2795" s="514">
        <v>0</v>
      </c>
      <c r="I2795" s="514">
        <v>0</v>
      </c>
      <c r="J2795" s="514">
        <v>0</v>
      </c>
      <c r="K2795" s="514">
        <v>0</v>
      </c>
      <c r="L2795" s="514">
        <v>0</v>
      </c>
      <c r="M2795" s="514">
        <v>0</v>
      </c>
      <c r="N2795" s="514">
        <v>0</v>
      </c>
      <c r="O2795" s="499"/>
      <c r="P2795" s="499"/>
      <c r="Q2795" s="499"/>
    </row>
    <row r="2796" spans="1:17" ht="14.4" x14ac:dyDescent="0.3">
      <c r="A2796" s="502" t="s">
        <v>4456</v>
      </c>
      <c r="B2796" s="503" t="s">
        <v>4457</v>
      </c>
      <c r="C2796" s="514">
        <v>0</v>
      </c>
      <c r="D2796" s="514">
        <v>0</v>
      </c>
      <c r="E2796" s="514">
        <v>0</v>
      </c>
      <c r="F2796" s="514">
        <v>0</v>
      </c>
      <c r="G2796" s="514">
        <v>0</v>
      </c>
      <c r="H2796" s="514">
        <v>0</v>
      </c>
      <c r="I2796" s="514">
        <v>0</v>
      </c>
      <c r="J2796" s="514">
        <v>0</v>
      </c>
      <c r="K2796" s="514">
        <v>0</v>
      </c>
      <c r="L2796" s="514">
        <v>0</v>
      </c>
      <c r="M2796" s="514">
        <v>0</v>
      </c>
      <c r="N2796" s="514">
        <v>0</v>
      </c>
      <c r="O2796" s="499"/>
      <c r="P2796" s="499"/>
      <c r="Q2796" s="499"/>
    </row>
    <row r="2797" spans="1:17" ht="14.4" x14ac:dyDescent="0.3">
      <c r="A2797" s="502" t="s">
        <v>4458</v>
      </c>
      <c r="B2797" s="503" t="s">
        <v>4459</v>
      </c>
      <c r="C2797" s="514">
        <v>0</v>
      </c>
      <c r="D2797" s="514">
        <v>0</v>
      </c>
      <c r="E2797" s="514">
        <v>0</v>
      </c>
      <c r="F2797" s="514">
        <v>0</v>
      </c>
      <c r="G2797" s="514">
        <v>0</v>
      </c>
      <c r="H2797" s="514">
        <v>0</v>
      </c>
      <c r="I2797" s="514">
        <v>0</v>
      </c>
      <c r="J2797" s="514">
        <v>0</v>
      </c>
      <c r="K2797" s="514">
        <v>0</v>
      </c>
      <c r="L2797" s="514">
        <v>0</v>
      </c>
      <c r="M2797" s="514">
        <v>0</v>
      </c>
      <c r="N2797" s="514">
        <v>0</v>
      </c>
      <c r="O2797" s="499"/>
      <c r="P2797" s="499"/>
      <c r="Q2797" s="499"/>
    </row>
    <row r="2798" spans="1:17" ht="14.4" x14ac:dyDescent="0.3">
      <c r="A2798" s="502" t="s">
        <v>4460</v>
      </c>
      <c r="B2798" s="503" t="s">
        <v>4461</v>
      </c>
      <c r="C2798" s="514">
        <v>0</v>
      </c>
      <c r="D2798" s="514">
        <v>0</v>
      </c>
      <c r="E2798" s="514">
        <v>0</v>
      </c>
      <c r="F2798" s="514">
        <v>0</v>
      </c>
      <c r="G2798" s="514">
        <v>0</v>
      </c>
      <c r="H2798" s="514">
        <v>0</v>
      </c>
      <c r="I2798" s="514">
        <v>0</v>
      </c>
      <c r="J2798" s="514">
        <v>0</v>
      </c>
      <c r="K2798" s="514">
        <v>0</v>
      </c>
      <c r="L2798" s="514">
        <v>0</v>
      </c>
      <c r="M2798" s="514">
        <v>0</v>
      </c>
      <c r="N2798" s="514">
        <v>0</v>
      </c>
      <c r="O2798" s="499"/>
      <c r="P2798" s="499"/>
      <c r="Q2798" s="499"/>
    </row>
    <row r="2799" spans="1:17" ht="14.4" x14ac:dyDescent="0.3">
      <c r="A2799" s="502" t="s">
        <v>4462</v>
      </c>
      <c r="B2799" s="503" t="s">
        <v>4463</v>
      </c>
      <c r="C2799" s="514">
        <v>0</v>
      </c>
      <c r="D2799" s="514">
        <v>0</v>
      </c>
      <c r="E2799" s="514">
        <v>0</v>
      </c>
      <c r="F2799" s="514">
        <v>0</v>
      </c>
      <c r="G2799" s="514">
        <v>0</v>
      </c>
      <c r="H2799" s="514">
        <v>0</v>
      </c>
      <c r="I2799" s="514">
        <v>0</v>
      </c>
      <c r="J2799" s="514">
        <v>0</v>
      </c>
      <c r="K2799" s="514">
        <v>0</v>
      </c>
      <c r="L2799" s="514">
        <v>0</v>
      </c>
      <c r="M2799" s="514">
        <v>0</v>
      </c>
      <c r="N2799" s="514">
        <v>0</v>
      </c>
      <c r="O2799" s="499"/>
      <c r="P2799" s="499"/>
      <c r="Q2799" s="499"/>
    </row>
    <row r="2800" spans="1:17" ht="14.4" x14ac:dyDescent="0.3">
      <c r="A2800" s="502" t="s">
        <v>4464</v>
      </c>
      <c r="B2800" s="503" t="s">
        <v>4465</v>
      </c>
      <c r="C2800" s="514">
        <v>0</v>
      </c>
      <c r="D2800" s="514">
        <v>0</v>
      </c>
      <c r="E2800" s="514">
        <v>0</v>
      </c>
      <c r="F2800" s="514">
        <v>0</v>
      </c>
      <c r="G2800" s="514">
        <v>0</v>
      </c>
      <c r="H2800" s="514">
        <v>0</v>
      </c>
      <c r="I2800" s="514">
        <v>0</v>
      </c>
      <c r="J2800" s="514">
        <v>0</v>
      </c>
      <c r="K2800" s="514">
        <v>0</v>
      </c>
      <c r="L2800" s="514">
        <v>0</v>
      </c>
      <c r="M2800" s="514">
        <v>0</v>
      </c>
      <c r="N2800" s="514">
        <v>0</v>
      </c>
      <c r="O2800" s="499"/>
      <c r="P2800" s="499"/>
      <c r="Q2800" s="499"/>
    </row>
    <row r="2801" spans="1:17" ht="14.4" x14ac:dyDescent="0.3">
      <c r="A2801" s="502" t="s">
        <v>4466</v>
      </c>
      <c r="B2801" s="503" t="s">
        <v>4467</v>
      </c>
      <c r="C2801" s="514">
        <v>0</v>
      </c>
      <c r="D2801" s="514">
        <v>0</v>
      </c>
      <c r="E2801" s="514">
        <v>0</v>
      </c>
      <c r="F2801" s="514">
        <v>0</v>
      </c>
      <c r="G2801" s="514">
        <v>0</v>
      </c>
      <c r="H2801" s="514">
        <v>0</v>
      </c>
      <c r="I2801" s="514">
        <v>0</v>
      </c>
      <c r="J2801" s="514">
        <v>0</v>
      </c>
      <c r="K2801" s="514">
        <v>0</v>
      </c>
      <c r="L2801" s="514">
        <v>0</v>
      </c>
      <c r="M2801" s="514">
        <v>0</v>
      </c>
      <c r="N2801" s="514">
        <v>0</v>
      </c>
      <c r="O2801" s="499"/>
      <c r="P2801" s="499"/>
      <c r="Q2801" s="499"/>
    </row>
    <row r="2802" spans="1:17" ht="14.4" x14ac:dyDescent="0.3">
      <c r="A2802" s="502" t="s">
        <v>4468</v>
      </c>
      <c r="B2802" s="503" t="s">
        <v>1680</v>
      </c>
      <c r="C2802" s="514">
        <v>31846.57</v>
      </c>
      <c r="D2802" s="514">
        <v>31846.57</v>
      </c>
      <c r="E2802" s="514">
        <v>31846.57</v>
      </c>
      <c r="F2802" s="514">
        <v>31846.57</v>
      </c>
      <c r="G2802" s="514">
        <v>31846.57</v>
      </c>
      <c r="H2802" s="514">
        <v>31846.57</v>
      </c>
      <c r="I2802" s="514">
        <v>31846.57</v>
      </c>
      <c r="J2802" s="514">
        <v>31846.57</v>
      </c>
      <c r="K2802" s="514">
        <v>31846.57</v>
      </c>
      <c r="L2802" s="514">
        <v>31846.57</v>
      </c>
      <c r="M2802" s="514">
        <v>31846.57</v>
      </c>
      <c r="N2802" s="514">
        <v>31846.57</v>
      </c>
      <c r="O2802" s="499"/>
      <c r="P2802" s="499"/>
      <c r="Q2802" s="499"/>
    </row>
    <row r="2803" spans="1:17" ht="14.4" x14ac:dyDescent="0.3">
      <c r="A2803" s="502" t="s">
        <v>4469</v>
      </c>
      <c r="B2803" s="503" t="s">
        <v>4470</v>
      </c>
      <c r="C2803" s="514">
        <v>0</v>
      </c>
      <c r="D2803" s="514">
        <v>0</v>
      </c>
      <c r="E2803" s="514">
        <v>0</v>
      </c>
      <c r="F2803" s="514">
        <v>0</v>
      </c>
      <c r="G2803" s="514">
        <v>0</v>
      </c>
      <c r="H2803" s="514">
        <v>0</v>
      </c>
      <c r="I2803" s="514">
        <v>0</v>
      </c>
      <c r="J2803" s="514">
        <v>0</v>
      </c>
      <c r="K2803" s="514">
        <v>0</v>
      </c>
      <c r="L2803" s="514">
        <v>0</v>
      </c>
      <c r="M2803" s="514">
        <v>0</v>
      </c>
      <c r="N2803" s="514">
        <v>0</v>
      </c>
      <c r="O2803" s="499"/>
      <c r="P2803" s="499"/>
      <c r="Q2803" s="499"/>
    </row>
    <row r="2804" spans="1:17" ht="14.4" x14ac:dyDescent="0.3">
      <c r="A2804" s="502" t="s">
        <v>4471</v>
      </c>
      <c r="B2804" s="503" t="s">
        <v>4472</v>
      </c>
      <c r="C2804" s="514">
        <v>0</v>
      </c>
      <c r="D2804" s="514">
        <v>0</v>
      </c>
      <c r="E2804" s="514">
        <v>0</v>
      </c>
      <c r="F2804" s="514">
        <v>0</v>
      </c>
      <c r="G2804" s="514">
        <v>0</v>
      </c>
      <c r="H2804" s="514">
        <v>0</v>
      </c>
      <c r="I2804" s="514">
        <v>0</v>
      </c>
      <c r="J2804" s="514">
        <v>0</v>
      </c>
      <c r="K2804" s="514">
        <v>0</v>
      </c>
      <c r="L2804" s="514">
        <v>0</v>
      </c>
      <c r="M2804" s="514">
        <v>0</v>
      </c>
      <c r="N2804" s="514">
        <v>0</v>
      </c>
      <c r="O2804" s="499"/>
      <c r="P2804" s="499"/>
      <c r="Q2804" s="499"/>
    </row>
    <row r="2805" spans="1:17" ht="14.4" x14ac:dyDescent="0.3">
      <c r="A2805" s="502" t="s">
        <v>4473</v>
      </c>
      <c r="B2805" s="503" t="s">
        <v>4474</v>
      </c>
      <c r="C2805" s="514">
        <v>0</v>
      </c>
      <c r="D2805" s="514">
        <v>0</v>
      </c>
      <c r="E2805" s="514">
        <v>0</v>
      </c>
      <c r="F2805" s="514">
        <v>0</v>
      </c>
      <c r="G2805" s="514">
        <v>0</v>
      </c>
      <c r="H2805" s="514">
        <v>0</v>
      </c>
      <c r="I2805" s="514">
        <v>0</v>
      </c>
      <c r="J2805" s="514">
        <v>0</v>
      </c>
      <c r="K2805" s="514">
        <v>0</v>
      </c>
      <c r="L2805" s="514">
        <v>0</v>
      </c>
      <c r="M2805" s="514">
        <v>0</v>
      </c>
      <c r="N2805" s="514">
        <v>0</v>
      </c>
      <c r="O2805" s="499"/>
      <c r="P2805" s="499"/>
      <c r="Q2805" s="499"/>
    </row>
    <row r="2806" spans="1:17" ht="14.4" x14ac:dyDescent="0.3">
      <c r="A2806" s="502" t="s">
        <v>4475</v>
      </c>
      <c r="B2806" s="503" t="s">
        <v>4476</v>
      </c>
      <c r="C2806" s="514">
        <v>0</v>
      </c>
      <c r="D2806" s="514">
        <v>0</v>
      </c>
      <c r="E2806" s="514">
        <v>0</v>
      </c>
      <c r="F2806" s="514">
        <v>0</v>
      </c>
      <c r="G2806" s="514">
        <v>0</v>
      </c>
      <c r="H2806" s="514">
        <v>0</v>
      </c>
      <c r="I2806" s="514">
        <v>0</v>
      </c>
      <c r="J2806" s="514">
        <v>0</v>
      </c>
      <c r="K2806" s="514">
        <v>0</v>
      </c>
      <c r="L2806" s="514">
        <v>0</v>
      </c>
      <c r="M2806" s="514">
        <v>0</v>
      </c>
      <c r="N2806" s="514">
        <v>0</v>
      </c>
      <c r="O2806" s="499"/>
      <c r="P2806" s="499"/>
      <c r="Q2806" s="499"/>
    </row>
    <row r="2807" spans="1:17" ht="14.4" x14ac:dyDescent="0.3">
      <c r="A2807" s="502" t="s">
        <v>4477</v>
      </c>
      <c r="B2807" s="503" t="s">
        <v>4478</v>
      </c>
      <c r="C2807" s="514">
        <v>0</v>
      </c>
      <c r="D2807" s="514">
        <v>0</v>
      </c>
      <c r="E2807" s="514">
        <v>0</v>
      </c>
      <c r="F2807" s="514">
        <v>0</v>
      </c>
      <c r="G2807" s="514">
        <v>0</v>
      </c>
      <c r="H2807" s="514">
        <v>0</v>
      </c>
      <c r="I2807" s="514">
        <v>0</v>
      </c>
      <c r="J2807" s="514">
        <v>0</v>
      </c>
      <c r="K2807" s="514">
        <v>0</v>
      </c>
      <c r="L2807" s="514">
        <v>0</v>
      </c>
      <c r="M2807" s="514">
        <v>0</v>
      </c>
      <c r="N2807" s="514">
        <v>0</v>
      </c>
      <c r="O2807" s="499"/>
      <c r="P2807" s="499"/>
      <c r="Q2807" s="499"/>
    </row>
    <row r="2808" spans="1:17" ht="14.4" x14ac:dyDescent="0.3">
      <c r="A2808" s="502" t="s">
        <v>4479</v>
      </c>
      <c r="B2808" s="503" t="s">
        <v>4480</v>
      </c>
      <c r="C2808" s="514">
        <v>0</v>
      </c>
      <c r="D2808" s="514">
        <v>0</v>
      </c>
      <c r="E2808" s="514">
        <v>0</v>
      </c>
      <c r="F2808" s="514">
        <v>0</v>
      </c>
      <c r="G2808" s="514">
        <v>0</v>
      </c>
      <c r="H2808" s="514">
        <v>0</v>
      </c>
      <c r="I2808" s="514">
        <v>0</v>
      </c>
      <c r="J2808" s="514">
        <v>0</v>
      </c>
      <c r="K2808" s="514">
        <v>0</v>
      </c>
      <c r="L2808" s="514">
        <v>0</v>
      </c>
      <c r="M2808" s="514">
        <v>0</v>
      </c>
      <c r="N2808" s="514">
        <v>0</v>
      </c>
      <c r="O2808" s="499"/>
      <c r="P2808" s="499"/>
      <c r="Q2808" s="499"/>
    </row>
    <row r="2809" spans="1:17" ht="14.4" x14ac:dyDescent="0.3">
      <c r="A2809" s="502" t="s">
        <v>4481</v>
      </c>
      <c r="B2809" s="503" t="s">
        <v>4482</v>
      </c>
      <c r="C2809" s="514">
        <v>0</v>
      </c>
      <c r="D2809" s="514">
        <v>0</v>
      </c>
      <c r="E2809" s="514">
        <v>0</v>
      </c>
      <c r="F2809" s="514">
        <v>0</v>
      </c>
      <c r="G2809" s="514">
        <v>0</v>
      </c>
      <c r="H2809" s="514">
        <v>0</v>
      </c>
      <c r="I2809" s="514">
        <v>0</v>
      </c>
      <c r="J2809" s="514">
        <v>0</v>
      </c>
      <c r="K2809" s="514">
        <v>0</v>
      </c>
      <c r="L2809" s="514">
        <v>0</v>
      </c>
      <c r="M2809" s="514">
        <v>0</v>
      </c>
      <c r="N2809" s="514">
        <v>0</v>
      </c>
      <c r="O2809" s="499"/>
      <c r="P2809" s="499"/>
      <c r="Q2809" s="499"/>
    </row>
    <row r="2810" spans="1:17" ht="14.4" x14ac:dyDescent="0.3">
      <c r="A2810" s="502" t="s">
        <v>4483</v>
      </c>
      <c r="B2810" s="503" t="s">
        <v>4484</v>
      </c>
      <c r="C2810" s="514">
        <v>0</v>
      </c>
      <c r="D2810" s="514">
        <v>0</v>
      </c>
      <c r="E2810" s="514">
        <v>0</v>
      </c>
      <c r="F2810" s="514">
        <v>0</v>
      </c>
      <c r="G2810" s="514">
        <v>0</v>
      </c>
      <c r="H2810" s="514">
        <v>0</v>
      </c>
      <c r="I2810" s="514">
        <v>0</v>
      </c>
      <c r="J2810" s="514">
        <v>0</v>
      </c>
      <c r="K2810" s="514">
        <v>0</v>
      </c>
      <c r="L2810" s="514">
        <v>0</v>
      </c>
      <c r="M2810" s="514">
        <v>0</v>
      </c>
      <c r="N2810" s="514">
        <v>0</v>
      </c>
      <c r="O2810" s="499"/>
      <c r="P2810" s="499"/>
      <c r="Q2810" s="499"/>
    </row>
    <row r="2811" spans="1:17" ht="14.4" x14ac:dyDescent="0.3">
      <c r="A2811" s="502" t="s">
        <v>4485</v>
      </c>
      <c r="B2811" s="503" t="s">
        <v>4486</v>
      </c>
      <c r="C2811" s="514">
        <v>0</v>
      </c>
      <c r="D2811" s="514">
        <v>0</v>
      </c>
      <c r="E2811" s="514">
        <v>0</v>
      </c>
      <c r="F2811" s="514">
        <v>0</v>
      </c>
      <c r="G2811" s="514">
        <v>0</v>
      </c>
      <c r="H2811" s="514">
        <v>0</v>
      </c>
      <c r="I2811" s="514">
        <v>0</v>
      </c>
      <c r="J2811" s="514">
        <v>0</v>
      </c>
      <c r="K2811" s="514">
        <v>0</v>
      </c>
      <c r="L2811" s="514">
        <v>0</v>
      </c>
      <c r="M2811" s="514">
        <v>0</v>
      </c>
      <c r="N2811" s="514">
        <v>0</v>
      </c>
      <c r="O2811" s="499"/>
      <c r="P2811" s="499"/>
      <c r="Q2811" s="499"/>
    </row>
    <row r="2812" spans="1:17" ht="14.4" x14ac:dyDescent="0.3">
      <c r="A2812" s="502" t="s">
        <v>4487</v>
      </c>
      <c r="B2812" s="503" t="s">
        <v>4488</v>
      </c>
      <c r="C2812" s="514">
        <v>0</v>
      </c>
      <c r="D2812" s="514">
        <v>0</v>
      </c>
      <c r="E2812" s="514">
        <v>0</v>
      </c>
      <c r="F2812" s="514">
        <v>0</v>
      </c>
      <c r="G2812" s="514">
        <v>0</v>
      </c>
      <c r="H2812" s="514">
        <v>0</v>
      </c>
      <c r="I2812" s="514">
        <v>0</v>
      </c>
      <c r="J2812" s="514">
        <v>0</v>
      </c>
      <c r="K2812" s="514">
        <v>0</v>
      </c>
      <c r="L2812" s="514">
        <v>0</v>
      </c>
      <c r="M2812" s="514">
        <v>0</v>
      </c>
      <c r="N2812" s="514">
        <v>0</v>
      </c>
      <c r="O2812" s="499"/>
      <c r="P2812" s="499"/>
      <c r="Q2812" s="499"/>
    </row>
    <row r="2813" spans="1:17" ht="14.4" x14ac:dyDescent="0.3">
      <c r="A2813" s="502" t="s">
        <v>4489</v>
      </c>
      <c r="B2813" s="503" t="s">
        <v>4490</v>
      </c>
      <c r="C2813" s="514">
        <v>0</v>
      </c>
      <c r="D2813" s="514">
        <v>0</v>
      </c>
      <c r="E2813" s="514">
        <v>0</v>
      </c>
      <c r="F2813" s="514">
        <v>0</v>
      </c>
      <c r="G2813" s="514">
        <v>0</v>
      </c>
      <c r="H2813" s="514">
        <v>0</v>
      </c>
      <c r="I2813" s="514">
        <v>0</v>
      </c>
      <c r="J2813" s="514">
        <v>0</v>
      </c>
      <c r="K2813" s="514">
        <v>0</v>
      </c>
      <c r="L2813" s="514">
        <v>0</v>
      </c>
      <c r="M2813" s="514">
        <v>0</v>
      </c>
      <c r="N2813" s="514">
        <v>0</v>
      </c>
      <c r="O2813" s="499"/>
      <c r="P2813" s="499"/>
      <c r="Q2813" s="499"/>
    </row>
    <row r="2814" spans="1:17" ht="14.4" x14ac:dyDescent="0.3">
      <c r="A2814" s="502" t="s">
        <v>4491</v>
      </c>
      <c r="B2814" s="503" t="s">
        <v>4492</v>
      </c>
      <c r="C2814" s="514">
        <v>0</v>
      </c>
      <c r="D2814" s="514">
        <v>0</v>
      </c>
      <c r="E2814" s="514">
        <v>0</v>
      </c>
      <c r="F2814" s="514">
        <v>0</v>
      </c>
      <c r="G2814" s="514">
        <v>0</v>
      </c>
      <c r="H2814" s="514">
        <v>0</v>
      </c>
      <c r="I2814" s="514">
        <v>0</v>
      </c>
      <c r="J2814" s="514">
        <v>0</v>
      </c>
      <c r="K2814" s="514">
        <v>0</v>
      </c>
      <c r="L2814" s="514">
        <v>0</v>
      </c>
      <c r="M2814" s="514">
        <v>0</v>
      </c>
      <c r="N2814" s="514">
        <v>0</v>
      </c>
      <c r="O2814" s="499"/>
      <c r="P2814" s="499"/>
      <c r="Q2814" s="499"/>
    </row>
    <row r="2815" spans="1:17" ht="14.4" x14ac:dyDescent="0.3">
      <c r="A2815" s="502" t="s">
        <v>4493</v>
      </c>
      <c r="B2815" s="503" t="s">
        <v>4494</v>
      </c>
      <c r="C2815" s="514">
        <v>0</v>
      </c>
      <c r="D2815" s="514">
        <v>0</v>
      </c>
      <c r="E2815" s="514">
        <v>0</v>
      </c>
      <c r="F2815" s="514">
        <v>0</v>
      </c>
      <c r="G2815" s="514">
        <v>0</v>
      </c>
      <c r="H2815" s="514">
        <v>0</v>
      </c>
      <c r="I2815" s="514">
        <v>0</v>
      </c>
      <c r="J2815" s="514">
        <v>0</v>
      </c>
      <c r="K2815" s="514">
        <v>0</v>
      </c>
      <c r="L2815" s="514">
        <v>0</v>
      </c>
      <c r="M2815" s="514">
        <v>0</v>
      </c>
      <c r="N2815" s="514">
        <v>0</v>
      </c>
      <c r="O2815" s="499"/>
      <c r="P2815" s="499"/>
      <c r="Q2815" s="499"/>
    </row>
    <row r="2816" spans="1:17" ht="14.4" x14ac:dyDescent="0.3">
      <c r="A2816" s="502" t="s">
        <v>4495</v>
      </c>
      <c r="B2816" s="503" t="s">
        <v>4496</v>
      </c>
      <c r="C2816" s="514">
        <v>0</v>
      </c>
      <c r="D2816" s="514">
        <v>0</v>
      </c>
      <c r="E2816" s="514">
        <v>0</v>
      </c>
      <c r="F2816" s="514">
        <v>0</v>
      </c>
      <c r="G2816" s="514">
        <v>0</v>
      </c>
      <c r="H2816" s="514">
        <v>0</v>
      </c>
      <c r="I2816" s="514">
        <v>0</v>
      </c>
      <c r="J2816" s="514">
        <v>0</v>
      </c>
      <c r="K2816" s="514">
        <v>0</v>
      </c>
      <c r="L2816" s="514">
        <v>0</v>
      </c>
      <c r="M2816" s="514">
        <v>0</v>
      </c>
      <c r="N2816" s="514">
        <v>0</v>
      </c>
      <c r="O2816" s="499"/>
      <c r="P2816" s="499"/>
      <c r="Q2816" s="499"/>
    </row>
    <row r="2817" spans="1:17" ht="14.4" x14ac:dyDescent="0.3">
      <c r="A2817" s="502" t="s">
        <v>4497</v>
      </c>
      <c r="B2817" s="503" t="s">
        <v>4498</v>
      </c>
      <c r="C2817" s="514">
        <v>0</v>
      </c>
      <c r="D2817" s="514">
        <v>0</v>
      </c>
      <c r="E2817" s="514">
        <v>0</v>
      </c>
      <c r="F2817" s="514">
        <v>0</v>
      </c>
      <c r="G2817" s="514">
        <v>0</v>
      </c>
      <c r="H2817" s="514">
        <v>0</v>
      </c>
      <c r="I2817" s="514">
        <v>0</v>
      </c>
      <c r="J2817" s="514">
        <v>0</v>
      </c>
      <c r="K2817" s="514">
        <v>0</v>
      </c>
      <c r="L2817" s="514">
        <v>0</v>
      </c>
      <c r="M2817" s="514">
        <v>0</v>
      </c>
      <c r="N2817" s="514">
        <v>0</v>
      </c>
      <c r="O2817" s="499"/>
      <c r="P2817" s="499"/>
      <c r="Q2817" s="499"/>
    </row>
    <row r="2818" spans="1:17" ht="14.4" x14ac:dyDescent="0.3">
      <c r="A2818" s="502" t="s">
        <v>4499</v>
      </c>
      <c r="B2818" s="503" t="s">
        <v>4500</v>
      </c>
      <c r="C2818" s="514">
        <v>0</v>
      </c>
      <c r="D2818" s="514">
        <v>0</v>
      </c>
      <c r="E2818" s="514">
        <v>0</v>
      </c>
      <c r="F2818" s="514">
        <v>0</v>
      </c>
      <c r="G2818" s="514">
        <v>0</v>
      </c>
      <c r="H2818" s="514">
        <v>0</v>
      </c>
      <c r="I2818" s="514">
        <v>0</v>
      </c>
      <c r="J2818" s="514">
        <v>0</v>
      </c>
      <c r="K2818" s="514">
        <v>0</v>
      </c>
      <c r="L2818" s="514">
        <v>0</v>
      </c>
      <c r="M2818" s="514">
        <v>0</v>
      </c>
      <c r="N2818" s="514">
        <v>0</v>
      </c>
      <c r="O2818" s="499"/>
      <c r="P2818" s="499"/>
      <c r="Q2818" s="499"/>
    </row>
    <row r="2819" spans="1:17" ht="14.4" x14ac:dyDescent="0.3">
      <c r="A2819" s="502" t="s">
        <v>4501</v>
      </c>
      <c r="B2819" s="503" t="s">
        <v>4502</v>
      </c>
      <c r="C2819" s="514">
        <v>0</v>
      </c>
      <c r="D2819" s="514">
        <v>0</v>
      </c>
      <c r="E2819" s="514">
        <v>0</v>
      </c>
      <c r="F2819" s="514">
        <v>0</v>
      </c>
      <c r="G2819" s="514">
        <v>0</v>
      </c>
      <c r="H2819" s="514">
        <v>0</v>
      </c>
      <c r="I2819" s="514">
        <v>0</v>
      </c>
      <c r="J2819" s="514">
        <v>0</v>
      </c>
      <c r="K2819" s="514">
        <v>0</v>
      </c>
      <c r="L2819" s="514">
        <v>0</v>
      </c>
      <c r="M2819" s="514">
        <v>0</v>
      </c>
      <c r="N2819" s="514">
        <v>0</v>
      </c>
      <c r="O2819" s="499"/>
      <c r="P2819" s="499"/>
      <c r="Q2819" s="499"/>
    </row>
    <row r="2820" spans="1:17" ht="14.4" x14ac:dyDescent="0.3">
      <c r="A2820" s="502" t="s">
        <v>4503</v>
      </c>
      <c r="B2820" s="503" t="s">
        <v>4504</v>
      </c>
      <c r="C2820" s="514">
        <v>0</v>
      </c>
      <c r="D2820" s="514">
        <v>0</v>
      </c>
      <c r="E2820" s="514">
        <v>0</v>
      </c>
      <c r="F2820" s="514">
        <v>0</v>
      </c>
      <c r="G2820" s="514">
        <v>0</v>
      </c>
      <c r="H2820" s="514">
        <v>0</v>
      </c>
      <c r="I2820" s="514">
        <v>0</v>
      </c>
      <c r="J2820" s="514">
        <v>0</v>
      </c>
      <c r="K2820" s="514">
        <v>0</v>
      </c>
      <c r="L2820" s="514">
        <v>0</v>
      </c>
      <c r="M2820" s="514">
        <v>0</v>
      </c>
      <c r="N2820" s="514">
        <v>0</v>
      </c>
      <c r="O2820" s="499"/>
      <c r="P2820" s="499"/>
      <c r="Q2820" s="499"/>
    </row>
    <row r="2821" spans="1:17" ht="14.4" x14ac:dyDescent="0.3">
      <c r="A2821" s="502" t="s">
        <v>4505</v>
      </c>
      <c r="B2821" s="503" t="s">
        <v>4506</v>
      </c>
      <c r="C2821" s="514">
        <v>0</v>
      </c>
      <c r="D2821" s="514">
        <v>0</v>
      </c>
      <c r="E2821" s="514">
        <v>0</v>
      </c>
      <c r="F2821" s="514">
        <v>0</v>
      </c>
      <c r="G2821" s="514">
        <v>0</v>
      </c>
      <c r="H2821" s="514">
        <v>0</v>
      </c>
      <c r="I2821" s="514">
        <v>0</v>
      </c>
      <c r="J2821" s="514">
        <v>0</v>
      </c>
      <c r="K2821" s="514">
        <v>0</v>
      </c>
      <c r="L2821" s="514">
        <v>0</v>
      </c>
      <c r="M2821" s="514">
        <v>0</v>
      </c>
      <c r="N2821" s="514">
        <v>0</v>
      </c>
      <c r="O2821" s="499"/>
      <c r="P2821" s="499"/>
      <c r="Q2821" s="499"/>
    </row>
    <row r="2822" spans="1:17" ht="14.4" x14ac:dyDescent="0.3">
      <c r="A2822" s="502" t="s">
        <v>4507</v>
      </c>
      <c r="B2822" s="503" t="s">
        <v>4508</v>
      </c>
      <c r="C2822" s="514">
        <v>0</v>
      </c>
      <c r="D2822" s="514">
        <v>0</v>
      </c>
      <c r="E2822" s="514">
        <v>0</v>
      </c>
      <c r="F2822" s="514">
        <v>0</v>
      </c>
      <c r="G2822" s="514">
        <v>0</v>
      </c>
      <c r="H2822" s="514">
        <v>0</v>
      </c>
      <c r="I2822" s="514">
        <v>0</v>
      </c>
      <c r="J2822" s="514">
        <v>0</v>
      </c>
      <c r="K2822" s="514">
        <v>0</v>
      </c>
      <c r="L2822" s="514">
        <v>0</v>
      </c>
      <c r="M2822" s="514">
        <v>0</v>
      </c>
      <c r="N2822" s="514">
        <v>0</v>
      </c>
      <c r="O2822" s="499"/>
      <c r="P2822" s="499"/>
      <c r="Q2822" s="499"/>
    </row>
    <row r="2823" spans="1:17" ht="14.4" x14ac:dyDescent="0.3">
      <c r="A2823" s="502" t="s">
        <v>4509</v>
      </c>
      <c r="B2823" s="503" t="s">
        <v>4510</v>
      </c>
      <c r="C2823" s="514">
        <v>0</v>
      </c>
      <c r="D2823" s="514">
        <v>0</v>
      </c>
      <c r="E2823" s="514">
        <v>0</v>
      </c>
      <c r="F2823" s="514">
        <v>0</v>
      </c>
      <c r="G2823" s="514">
        <v>0</v>
      </c>
      <c r="H2823" s="514">
        <v>0</v>
      </c>
      <c r="I2823" s="514">
        <v>0</v>
      </c>
      <c r="J2823" s="514">
        <v>0</v>
      </c>
      <c r="K2823" s="514">
        <v>0</v>
      </c>
      <c r="L2823" s="514">
        <v>0</v>
      </c>
      <c r="M2823" s="514">
        <v>0</v>
      </c>
      <c r="N2823" s="514">
        <v>0</v>
      </c>
      <c r="O2823" s="499"/>
      <c r="P2823" s="499"/>
      <c r="Q2823" s="499"/>
    </row>
    <row r="2824" spans="1:17" ht="14.4" x14ac:dyDescent="0.3">
      <c r="A2824" s="502" t="s">
        <v>4511</v>
      </c>
      <c r="B2824" s="503" t="s">
        <v>4512</v>
      </c>
      <c r="C2824" s="514">
        <v>0</v>
      </c>
      <c r="D2824" s="514">
        <v>0</v>
      </c>
      <c r="E2824" s="514">
        <v>0</v>
      </c>
      <c r="F2824" s="514">
        <v>0</v>
      </c>
      <c r="G2824" s="514">
        <v>0</v>
      </c>
      <c r="H2824" s="514">
        <v>0</v>
      </c>
      <c r="I2824" s="514">
        <v>0</v>
      </c>
      <c r="J2824" s="514">
        <v>0</v>
      </c>
      <c r="K2824" s="514">
        <v>0</v>
      </c>
      <c r="L2824" s="514">
        <v>0</v>
      </c>
      <c r="M2824" s="514">
        <v>0</v>
      </c>
      <c r="N2824" s="514">
        <v>0</v>
      </c>
      <c r="O2824" s="499"/>
      <c r="P2824" s="499"/>
      <c r="Q2824" s="499"/>
    </row>
    <row r="2825" spans="1:17" ht="14.4" x14ac:dyDescent="0.3">
      <c r="A2825" s="502" t="s">
        <v>4513</v>
      </c>
      <c r="B2825" s="503" t="s">
        <v>1710</v>
      </c>
      <c r="C2825" s="514">
        <v>248436.64</v>
      </c>
      <c r="D2825" s="514">
        <v>248739.27</v>
      </c>
      <c r="E2825" s="514">
        <v>249042.02</v>
      </c>
      <c r="F2825" s="514">
        <v>249344.89</v>
      </c>
      <c r="G2825" s="514">
        <v>249647.89</v>
      </c>
      <c r="H2825" s="514">
        <v>249951.02</v>
      </c>
      <c r="I2825" s="514">
        <v>250254.28</v>
      </c>
      <c r="J2825" s="514">
        <v>250557.66</v>
      </c>
      <c r="K2825" s="514">
        <v>250861.17</v>
      </c>
      <c r="L2825" s="514">
        <v>251164.79999999999</v>
      </c>
      <c r="M2825" s="514">
        <v>251468.56</v>
      </c>
      <c r="N2825" s="514">
        <v>251772.45</v>
      </c>
      <c r="O2825" s="499"/>
      <c r="P2825" s="499"/>
      <c r="Q2825" s="499"/>
    </row>
    <row r="2826" spans="1:17" ht="14.4" x14ac:dyDescent="0.3">
      <c r="A2826" s="502" t="s">
        <v>4514</v>
      </c>
      <c r="B2826" s="503" t="s">
        <v>4515</v>
      </c>
      <c r="C2826" s="514">
        <v>0</v>
      </c>
      <c r="D2826" s="514">
        <v>0</v>
      </c>
      <c r="E2826" s="514">
        <v>0</v>
      </c>
      <c r="F2826" s="514">
        <v>0</v>
      </c>
      <c r="G2826" s="514">
        <v>0</v>
      </c>
      <c r="H2826" s="514">
        <v>0</v>
      </c>
      <c r="I2826" s="514">
        <v>0</v>
      </c>
      <c r="J2826" s="514">
        <v>0</v>
      </c>
      <c r="K2826" s="514">
        <v>0</v>
      </c>
      <c r="L2826" s="514">
        <v>0</v>
      </c>
      <c r="M2826" s="514">
        <v>0</v>
      </c>
      <c r="N2826" s="514">
        <v>0</v>
      </c>
      <c r="O2826" s="499"/>
      <c r="P2826" s="499"/>
      <c r="Q2826" s="499"/>
    </row>
    <row r="2827" spans="1:17" ht="14.4" x14ac:dyDescent="0.3">
      <c r="A2827" s="502" t="s">
        <v>4516</v>
      </c>
      <c r="B2827" s="503" t="s">
        <v>4517</v>
      </c>
      <c r="C2827" s="514">
        <v>0</v>
      </c>
      <c r="D2827" s="514">
        <v>0</v>
      </c>
      <c r="E2827" s="514">
        <v>0</v>
      </c>
      <c r="F2827" s="514">
        <v>0</v>
      </c>
      <c r="G2827" s="514">
        <v>0</v>
      </c>
      <c r="H2827" s="514">
        <v>0</v>
      </c>
      <c r="I2827" s="514">
        <v>0</v>
      </c>
      <c r="J2827" s="514">
        <v>0</v>
      </c>
      <c r="K2827" s="514">
        <v>0</v>
      </c>
      <c r="L2827" s="514">
        <v>0</v>
      </c>
      <c r="M2827" s="514">
        <v>0</v>
      </c>
      <c r="N2827" s="514">
        <v>0</v>
      </c>
      <c r="O2827" s="499"/>
      <c r="P2827" s="499"/>
      <c r="Q2827" s="499"/>
    </row>
    <row r="2828" spans="1:17" ht="14.4" x14ac:dyDescent="0.3">
      <c r="A2828" s="502" t="s">
        <v>4518</v>
      </c>
      <c r="B2828" s="503" t="s">
        <v>1724</v>
      </c>
      <c r="C2828" s="514">
        <v>5071.18</v>
      </c>
      <c r="D2828" s="514">
        <v>5013.16</v>
      </c>
      <c r="E2828" s="514">
        <v>4954.09</v>
      </c>
      <c r="F2828" s="514">
        <v>4894.93</v>
      </c>
      <c r="G2828" s="514">
        <v>4835.6899999999996</v>
      </c>
      <c r="H2828" s="514">
        <v>4775.62</v>
      </c>
      <c r="I2828" s="514">
        <v>4715.46</v>
      </c>
      <c r="J2828" s="514">
        <v>4655.22</v>
      </c>
      <c r="K2828" s="514">
        <v>4594.8999999999996</v>
      </c>
      <c r="L2828" s="514">
        <v>4534.49</v>
      </c>
      <c r="M2828" s="514">
        <v>4473.99</v>
      </c>
      <c r="N2828" s="514">
        <v>4413.41</v>
      </c>
      <c r="O2828" s="499"/>
      <c r="P2828" s="499"/>
      <c r="Q2828" s="499"/>
    </row>
    <row r="2829" spans="1:17" ht="14.4" x14ac:dyDescent="0.3">
      <c r="A2829" s="502" t="s">
        <v>4519</v>
      </c>
      <c r="B2829" s="503" t="s">
        <v>1712</v>
      </c>
      <c r="C2829" s="514">
        <v>58762.37</v>
      </c>
      <c r="D2829" s="514">
        <v>58762.37</v>
      </c>
      <c r="E2829" s="514">
        <v>58762.37</v>
      </c>
      <c r="F2829" s="514">
        <v>58762.37</v>
      </c>
      <c r="G2829" s="514">
        <v>58762.37</v>
      </c>
      <c r="H2829" s="514">
        <v>58762.37</v>
      </c>
      <c r="I2829" s="514">
        <v>58762.37</v>
      </c>
      <c r="J2829" s="514">
        <v>58762.37</v>
      </c>
      <c r="K2829" s="514">
        <v>58762.37</v>
      </c>
      <c r="L2829" s="514">
        <v>58762.37</v>
      </c>
      <c r="M2829" s="514">
        <v>58762.37</v>
      </c>
      <c r="N2829" s="514">
        <v>58762.37</v>
      </c>
      <c r="O2829" s="499"/>
      <c r="P2829" s="499"/>
      <c r="Q2829" s="499"/>
    </row>
    <row r="2830" spans="1:17" ht="14.4" x14ac:dyDescent="0.3">
      <c r="A2830" s="502" t="s">
        <v>4520</v>
      </c>
      <c r="B2830" s="503" t="s">
        <v>4521</v>
      </c>
      <c r="C2830" s="514">
        <v>0</v>
      </c>
      <c r="D2830" s="514">
        <v>0</v>
      </c>
      <c r="E2830" s="514">
        <v>0</v>
      </c>
      <c r="F2830" s="514">
        <v>0</v>
      </c>
      <c r="G2830" s="514">
        <v>0</v>
      </c>
      <c r="H2830" s="514">
        <v>0</v>
      </c>
      <c r="I2830" s="514">
        <v>0</v>
      </c>
      <c r="J2830" s="514">
        <v>0</v>
      </c>
      <c r="K2830" s="514">
        <v>0</v>
      </c>
      <c r="L2830" s="514">
        <v>0</v>
      </c>
      <c r="M2830" s="514">
        <v>0</v>
      </c>
      <c r="N2830" s="514">
        <v>0</v>
      </c>
      <c r="O2830" s="499"/>
      <c r="P2830" s="499"/>
      <c r="Q2830" s="499"/>
    </row>
    <row r="2831" spans="1:17" ht="14.4" x14ac:dyDescent="0.3">
      <c r="A2831" s="502" t="s">
        <v>4522</v>
      </c>
      <c r="B2831" s="503" t="s">
        <v>1714</v>
      </c>
      <c r="C2831" s="514">
        <v>46192.88</v>
      </c>
      <c r="D2831" s="514">
        <v>46192.87</v>
      </c>
      <c r="E2831" s="514">
        <v>37871.9</v>
      </c>
      <c r="F2831" s="514">
        <v>0</v>
      </c>
      <c r="G2831" s="514">
        <v>0</v>
      </c>
      <c r="H2831" s="514">
        <v>0</v>
      </c>
      <c r="I2831" s="514">
        <v>0</v>
      </c>
      <c r="J2831" s="514">
        <v>0</v>
      </c>
      <c r="K2831" s="514">
        <v>0</v>
      </c>
      <c r="L2831" s="514">
        <v>0</v>
      </c>
      <c r="M2831" s="514">
        <v>0</v>
      </c>
      <c r="N2831" s="514">
        <v>0</v>
      </c>
      <c r="O2831" s="499"/>
      <c r="P2831" s="499"/>
      <c r="Q2831" s="499"/>
    </row>
    <row r="2832" spans="1:17" ht="14.4" x14ac:dyDescent="0.3">
      <c r="A2832" s="502" t="s">
        <v>4523</v>
      </c>
      <c r="B2832" s="503" t="s">
        <v>4524</v>
      </c>
      <c r="C2832" s="514">
        <v>0</v>
      </c>
      <c r="D2832" s="514">
        <v>0</v>
      </c>
      <c r="E2832" s="514">
        <v>0</v>
      </c>
      <c r="F2832" s="514">
        <v>0</v>
      </c>
      <c r="G2832" s="514">
        <v>0</v>
      </c>
      <c r="H2832" s="514">
        <v>0</v>
      </c>
      <c r="I2832" s="514">
        <v>0</v>
      </c>
      <c r="J2832" s="514">
        <v>0</v>
      </c>
      <c r="K2832" s="514">
        <v>0</v>
      </c>
      <c r="L2832" s="514">
        <v>0</v>
      </c>
      <c r="M2832" s="514">
        <v>0</v>
      </c>
      <c r="N2832" s="514">
        <v>0</v>
      </c>
      <c r="O2832" s="499"/>
      <c r="P2832" s="499"/>
      <c r="Q2832" s="499"/>
    </row>
    <row r="2833" spans="1:17" ht="14.4" x14ac:dyDescent="0.3">
      <c r="A2833" s="502" t="s">
        <v>4525</v>
      </c>
      <c r="B2833" s="503" t="s">
        <v>1682</v>
      </c>
      <c r="C2833" s="514">
        <v>13353125</v>
      </c>
      <c r="D2833" s="514">
        <v>13353125</v>
      </c>
      <c r="E2833" s="514">
        <v>13353125</v>
      </c>
      <c r="F2833" s="514">
        <v>15053125</v>
      </c>
      <c r="G2833" s="514">
        <v>15053125</v>
      </c>
      <c r="H2833" s="514">
        <v>15053125</v>
      </c>
      <c r="I2833" s="514">
        <v>14471875</v>
      </c>
      <c r="J2833" s="514">
        <v>14084375</v>
      </c>
      <c r="K2833" s="514">
        <v>15359375</v>
      </c>
      <c r="L2833" s="514">
        <v>15359375</v>
      </c>
      <c r="M2833" s="514">
        <v>15359375</v>
      </c>
      <c r="N2833" s="514">
        <v>15359375</v>
      </c>
      <c r="O2833" s="499"/>
      <c r="P2833" s="499"/>
      <c r="Q2833" s="499"/>
    </row>
    <row r="2834" spans="1:17" ht="14.4" x14ac:dyDescent="0.3">
      <c r="A2834" s="502" t="s">
        <v>4526</v>
      </c>
      <c r="B2834" s="503" t="s">
        <v>4527</v>
      </c>
      <c r="C2834" s="514">
        <v>0</v>
      </c>
      <c r="D2834" s="514">
        <v>0</v>
      </c>
      <c r="E2834" s="514">
        <v>0</v>
      </c>
      <c r="F2834" s="514">
        <v>0</v>
      </c>
      <c r="G2834" s="514">
        <v>0</v>
      </c>
      <c r="H2834" s="514">
        <v>0</v>
      </c>
      <c r="I2834" s="514">
        <v>0</v>
      </c>
      <c r="J2834" s="514">
        <v>0</v>
      </c>
      <c r="K2834" s="514">
        <v>0</v>
      </c>
      <c r="L2834" s="514">
        <v>0</v>
      </c>
      <c r="M2834" s="514">
        <v>0</v>
      </c>
      <c r="N2834" s="514">
        <v>0</v>
      </c>
      <c r="O2834" s="499"/>
      <c r="P2834" s="499"/>
      <c r="Q2834" s="499"/>
    </row>
    <row r="2835" spans="1:17" ht="14.4" x14ac:dyDescent="0.3">
      <c r="A2835" s="502" t="s">
        <v>4528</v>
      </c>
      <c r="B2835" s="503" t="s">
        <v>1684</v>
      </c>
      <c r="C2835" s="514">
        <v>51905.03</v>
      </c>
      <c r="D2835" s="514">
        <v>51905.03</v>
      </c>
      <c r="E2835" s="514">
        <v>51905.03</v>
      </c>
      <c r="F2835" s="514">
        <v>68571.7</v>
      </c>
      <c r="G2835" s="514">
        <v>68571.7</v>
      </c>
      <c r="H2835" s="514">
        <v>68571.7</v>
      </c>
      <c r="I2835" s="514">
        <v>63805.95</v>
      </c>
      <c r="J2835" s="514">
        <v>63805.95</v>
      </c>
      <c r="K2835" s="514">
        <v>76305.95</v>
      </c>
      <c r="L2835" s="514">
        <v>76305.95</v>
      </c>
      <c r="M2835" s="514">
        <v>76305.95</v>
      </c>
      <c r="N2835" s="514">
        <v>76305.95</v>
      </c>
      <c r="O2835" s="499"/>
      <c r="P2835" s="499"/>
      <c r="Q2835" s="499"/>
    </row>
    <row r="2836" spans="1:17" ht="14.4" x14ac:dyDescent="0.3">
      <c r="A2836" s="502" t="s">
        <v>4529</v>
      </c>
      <c r="B2836" s="503" t="s">
        <v>4530</v>
      </c>
      <c r="C2836" s="514">
        <v>0</v>
      </c>
      <c r="D2836" s="514">
        <v>0</v>
      </c>
      <c r="E2836" s="514">
        <v>0</v>
      </c>
      <c r="F2836" s="514">
        <v>0</v>
      </c>
      <c r="G2836" s="514">
        <v>0</v>
      </c>
      <c r="H2836" s="514">
        <v>0</v>
      </c>
      <c r="I2836" s="514">
        <v>0</v>
      </c>
      <c r="J2836" s="514">
        <v>0</v>
      </c>
      <c r="K2836" s="514">
        <v>0</v>
      </c>
      <c r="L2836" s="514">
        <v>0</v>
      </c>
      <c r="M2836" s="514">
        <v>0</v>
      </c>
      <c r="N2836" s="514">
        <v>0</v>
      </c>
      <c r="O2836" s="499"/>
      <c r="P2836" s="499"/>
      <c r="Q2836" s="499"/>
    </row>
    <row r="2837" spans="1:17" ht="14.4" x14ac:dyDescent="0.3">
      <c r="A2837" s="502" t="s">
        <v>4531</v>
      </c>
      <c r="B2837" s="503" t="s">
        <v>1686</v>
      </c>
      <c r="C2837" s="514">
        <v>197775.1</v>
      </c>
      <c r="D2837" s="514">
        <v>197775.1</v>
      </c>
      <c r="E2837" s="514">
        <v>197775.1</v>
      </c>
      <c r="F2837" s="514">
        <v>214441.77</v>
      </c>
      <c r="G2837" s="514">
        <v>214441.77</v>
      </c>
      <c r="H2837" s="514">
        <v>214441.77</v>
      </c>
      <c r="I2837" s="514">
        <v>151161.81</v>
      </c>
      <c r="J2837" s="514">
        <v>151161.81</v>
      </c>
      <c r="K2837" s="514">
        <v>163661.81</v>
      </c>
      <c r="L2837" s="514">
        <v>163661.81</v>
      </c>
      <c r="M2837" s="514">
        <v>163661.81</v>
      </c>
      <c r="N2837" s="514">
        <v>163661.81</v>
      </c>
      <c r="O2837" s="499"/>
      <c r="P2837" s="499"/>
      <c r="Q2837" s="499"/>
    </row>
    <row r="2838" spans="1:17" ht="14.4" x14ac:dyDescent="0.3">
      <c r="A2838" s="502" t="s">
        <v>4532</v>
      </c>
      <c r="B2838" s="503" t="s">
        <v>4533</v>
      </c>
      <c r="C2838" s="514">
        <v>0</v>
      </c>
      <c r="D2838" s="514">
        <v>0</v>
      </c>
      <c r="E2838" s="514">
        <v>0</v>
      </c>
      <c r="F2838" s="514">
        <v>0</v>
      </c>
      <c r="G2838" s="514">
        <v>0</v>
      </c>
      <c r="H2838" s="514">
        <v>0</v>
      </c>
      <c r="I2838" s="514">
        <v>0</v>
      </c>
      <c r="J2838" s="514">
        <v>0</v>
      </c>
      <c r="K2838" s="514">
        <v>0</v>
      </c>
      <c r="L2838" s="514">
        <v>0</v>
      </c>
      <c r="M2838" s="514">
        <v>0</v>
      </c>
      <c r="N2838" s="514">
        <v>0</v>
      </c>
      <c r="O2838" s="499"/>
      <c r="P2838" s="499"/>
      <c r="Q2838" s="499"/>
    </row>
    <row r="2839" spans="1:17" ht="14.4" x14ac:dyDescent="0.3">
      <c r="A2839" s="502" t="s">
        <v>4534</v>
      </c>
      <c r="B2839" s="503" t="s">
        <v>4535</v>
      </c>
      <c r="C2839" s="514">
        <v>0</v>
      </c>
      <c r="D2839" s="514">
        <v>0</v>
      </c>
      <c r="E2839" s="514">
        <v>0</v>
      </c>
      <c r="F2839" s="514">
        <v>0</v>
      </c>
      <c r="G2839" s="514">
        <v>0</v>
      </c>
      <c r="H2839" s="514">
        <v>0</v>
      </c>
      <c r="I2839" s="514">
        <v>0</v>
      </c>
      <c r="J2839" s="514">
        <v>0</v>
      </c>
      <c r="K2839" s="514">
        <v>0</v>
      </c>
      <c r="L2839" s="514">
        <v>0</v>
      </c>
      <c r="M2839" s="514">
        <v>0</v>
      </c>
      <c r="N2839" s="514">
        <v>0</v>
      </c>
      <c r="O2839" s="499"/>
      <c r="P2839" s="499"/>
      <c r="Q2839" s="499"/>
    </row>
    <row r="2840" spans="1:17" ht="14.4" x14ac:dyDescent="0.3">
      <c r="A2840" s="502" t="s">
        <v>4536</v>
      </c>
      <c r="B2840" s="503" t="s">
        <v>4537</v>
      </c>
      <c r="C2840" s="514">
        <v>0</v>
      </c>
      <c r="D2840" s="514">
        <v>0</v>
      </c>
      <c r="E2840" s="514">
        <v>0</v>
      </c>
      <c r="F2840" s="514">
        <v>0</v>
      </c>
      <c r="G2840" s="514">
        <v>0</v>
      </c>
      <c r="H2840" s="514">
        <v>0</v>
      </c>
      <c r="I2840" s="514">
        <v>0</v>
      </c>
      <c r="J2840" s="514">
        <v>0</v>
      </c>
      <c r="K2840" s="514">
        <v>0</v>
      </c>
      <c r="L2840" s="514">
        <v>2246</v>
      </c>
      <c r="M2840" s="514">
        <v>10188</v>
      </c>
      <c r="N2840" s="514">
        <v>4204</v>
      </c>
      <c r="O2840" s="499"/>
      <c r="P2840" s="499"/>
      <c r="Q2840" s="499"/>
    </row>
    <row r="2841" spans="1:17" ht="14.4" x14ac:dyDescent="0.3">
      <c r="A2841" s="502" t="s">
        <v>4538</v>
      </c>
      <c r="B2841" s="503" t="s">
        <v>4539</v>
      </c>
      <c r="C2841" s="514">
        <v>0</v>
      </c>
      <c r="D2841" s="514">
        <v>0</v>
      </c>
      <c r="E2841" s="514">
        <v>0</v>
      </c>
      <c r="F2841" s="514">
        <v>0</v>
      </c>
      <c r="G2841" s="514">
        <v>0</v>
      </c>
      <c r="H2841" s="514">
        <v>0</v>
      </c>
      <c r="I2841" s="514">
        <v>0</v>
      </c>
      <c r="J2841" s="514">
        <v>0</v>
      </c>
      <c r="K2841" s="514">
        <v>0</v>
      </c>
      <c r="L2841" s="514">
        <v>0</v>
      </c>
      <c r="M2841" s="514">
        <v>0</v>
      </c>
      <c r="N2841" s="514">
        <v>0</v>
      </c>
      <c r="O2841" s="499"/>
      <c r="P2841" s="499"/>
      <c r="Q2841" s="499"/>
    </row>
    <row r="2842" spans="1:17" ht="14.4" x14ac:dyDescent="0.3">
      <c r="A2842" s="502" t="s">
        <v>4540</v>
      </c>
      <c r="B2842" s="503" t="s">
        <v>1716</v>
      </c>
      <c r="C2842" s="514">
        <v>5150</v>
      </c>
      <c r="D2842" s="514">
        <v>8302</v>
      </c>
      <c r="E2842" s="514">
        <v>10544</v>
      </c>
      <c r="F2842" s="514">
        <v>12120</v>
      </c>
      <c r="G2842" s="514">
        <v>14866</v>
      </c>
      <c r="H2842" s="514">
        <v>20341</v>
      </c>
      <c r="I2842" s="514">
        <v>26343</v>
      </c>
      <c r="J2842" s="514">
        <v>32210</v>
      </c>
      <c r="K2842" s="514">
        <v>39113</v>
      </c>
      <c r="L2842" s="514">
        <v>44936</v>
      </c>
      <c r="M2842" s="514">
        <v>48669</v>
      </c>
      <c r="N2842" s="514">
        <v>51674</v>
      </c>
      <c r="O2842" s="499"/>
      <c r="P2842" s="499"/>
      <c r="Q2842" s="499"/>
    </row>
    <row r="2843" spans="1:17" ht="14.4" x14ac:dyDescent="0.3">
      <c r="A2843" s="502" t="s">
        <v>4541</v>
      </c>
      <c r="B2843" s="503" t="s">
        <v>1718</v>
      </c>
      <c r="C2843" s="514">
        <v>13557</v>
      </c>
      <c r="D2843" s="514">
        <v>11792</v>
      </c>
      <c r="E2843" s="514">
        <v>10244</v>
      </c>
      <c r="F2843" s="514">
        <v>8513</v>
      </c>
      <c r="G2843" s="514">
        <v>7202</v>
      </c>
      <c r="H2843" s="514">
        <v>6697</v>
      </c>
      <c r="I2843" s="514">
        <v>6602</v>
      </c>
      <c r="J2843" s="514">
        <v>6666</v>
      </c>
      <c r="K2843" s="514">
        <v>6882</v>
      </c>
      <c r="L2843" s="514">
        <v>6794</v>
      </c>
      <c r="M2843" s="514">
        <v>6113</v>
      </c>
      <c r="N2843" s="514">
        <v>5136</v>
      </c>
      <c r="O2843" s="499"/>
      <c r="P2843" s="499"/>
      <c r="Q2843" s="499"/>
    </row>
    <row r="2844" spans="1:17" ht="14.4" x14ac:dyDescent="0.3">
      <c r="A2844" s="502" t="s">
        <v>4542</v>
      </c>
      <c r="B2844" s="503" t="s">
        <v>4543</v>
      </c>
      <c r="C2844" s="514">
        <v>0</v>
      </c>
      <c r="D2844" s="514">
        <v>0</v>
      </c>
      <c r="E2844" s="514">
        <v>0</v>
      </c>
      <c r="F2844" s="514">
        <v>0</v>
      </c>
      <c r="G2844" s="514">
        <v>0</v>
      </c>
      <c r="H2844" s="514">
        <v>0</v>
      </c>
      <c r="I2844" s="514">
        <v>0</v>
      </c>
      <c r="J2844" s="514">
        <v>0</v>
      </c>
      <c r="K2844" s="514">
        <v>0</v>
      </c>
      <c r="L2844" s="514">
        <v>0</v>
      </c>
      <c r="M2844" s="514">
        <v>0</v>
      </c>
      <c r="N2844" s="514">
        <v>0</v>
      </c>
      <c r="O2844" s="499"/>
      <c r="P2844" s="499"/>
      <c r="Q2844" s="499"/>
    </row>
    <row r="2845" spans="1:17" ht="14.4" x14ac:dyDescent="0.3">
      <c r="A2845" s="502" t="s">
        <v>4544</v>
      </c>
      <c r="B2845" s="503" t="s">
        <v>4545</v>
      </c>
      <c r="C2845" s="514">
        <v>0</v>
      </c>
      <c r="D2845" s="514">
        <v>0</v>
      </c>
      <c r="E2845" s="514">
        <v>0</v>
      </c>
      <c r="F2845" s="514">
        <v>0</v>
      </c>
      <c r="G2845" s="514">
        <v>0</v>
      </c>
      <c r="H2845" s="514">
        <v>0</v>
      </c>
      <c r="I2845" s="514">
        <v>0</v>
      </c>
      <c r="J2845" s="514">
        <v>0</v>
      </c>
      <c r="K2845" s="514">
        <v>0</v>
      </c>
      <c r="L2845" s="514">
        <v>0</v>
      </c>
      <c r="M2845" s="514">
        <v>0</v>
      </c>
      <c r="N2845" s="514">
        <v>0</v>
      </c>
      <c r="O2845" s="499"/>
      <c r="P2845" s="499"/>
      <c r="Q2845" s="499"/>
    </row>
    <row r="2846" spans="1:17" ht="14.4" x14ac:dyDescent="0.3">
      <c r="A2846" s="502" t="s">
        <v>4546</v>
      </c>
      <c r="B2846" s="503" t="s">
        <v>1720</v>
      </c>
      <c r="C2846" s="514">
        <v>0</v>
      </c>
      <c r="D2846" s="514">
        <v>0</v>
      </c>
      <c r="E2846" s="514">
        <v>0</v>
      </c>
      <c r="F2846" s="514">
        <v>0</v>
      </c>
      <c r="G2846" s="514">
        <v>0</v>
      </c>
      <c r="H2846" s="514">
        <v>0</v>
      </c>
      <c r="I2846" s="514">
        <v>0</v>
      </c>
      <c r="J2846" s="514">
        <v>0</v>
      </c>
      <c r="K2846" s="514">
        <v>0</v>
      </c>
      <c r="L2846" s="514">
        <v>0</v>
      </c>
      <c r="M2846" s="514">
        <v>0</v>
      </c>
      <c r="N2846" s="514">
        <v>0</v>
      </c>
      <c r="O2846" s="499"/>
      <c r="P2846" s="499"/>
      <c r="Q2846" s="499"/>
    </row>
    <row r="2847" spans="1:17" ht="14.4" x14ac:dyDescent="0.3">
      <c r="A2847" s="502" t="s">
        <v>4547</v>
      </c>
      <c r="B2847" s="503" t="s">
        <v>1728</v>
      </c>
      <c r="C2847" s="514">
        <v>12903.73</v>
      </c>
      <c r="D2847" s="514">
        <v>12816.92</v>
      </c>
      <c r="E2847" s="514">
        <v>13037.64</v>
      </c>
      <c r="F2847" s="514">
        <v>12882.89</v>
      </c>
      <c r="G2847" s="514">
        <v>12772.12</v>
      </c>
      <c r="H2847" s="514">
        <v>13022.72</v>
      </c>
      <c r="I2847" s="514">
        <v>13119.52</v>
      </c>
      <c r="J2847" s="514">
        <v>13214.76</v>
      </c>
      <c r="K2847" s="514">
        <v>13489.15</v>
      </c>
      <c r="L2847" s="514">
        <v>13565.9</v>
      </c>
      <c r="M2847" s="514">
        <v>13559.76</v>
      </c>
      <c r="N2847" s="514">
        <v>13768.1</v>
      </c>
      <c r="O2847" s="499"/>
      <c r="P2847" s="499"/>
      <c r="Q2847" s="499"/>
    </row>
    <row r="2848" spans="1:17" ht="14.4" x14ac:dyDescent="0.3">
      <c r="A2848" s="502" t="s">
        <v>4548</v>
      </c>
      <c r="B2848" s="503" t="s">
        <v>4549</v>
      </c>
      <c r="C2848" s="514">
        <v>0</v>
      </c>
      <c r="D2848" s="514">
        <v>0</v>
      </c>
      <c r="E2848" s="514">
        <v>0</v>
      </c>
      <c r="F2848" s="514">
        <v>0</v>
      </c>
      <c r="G2848" s="514">
        <v>0</v>
      </c>
      <c r="H2848" s="514">
        <v>0</v>
      </c>
      <c r="I2848" s="514">
        <v>0</v>
      </c>
      <c r="J2848" s="514">
        <v>0</v>
      </c>
      <c r="K2848" s="514">
        <v>0</v>
      </c>
      <c r="L2848" s="514">
        <v>0</v>
      </c>
      <c r="M2848" s="514">
        <v>0</v>
      </c>
      <c r="N2848" s="514">
        <v>0</v>
      </c>
      <c r="O2848" s="499"/>
      <c r="P2848" s="499"/>
      <c r="Q2848" s="499"/>
    </row>
    <row r="2849" spans="1:17" ht="14.4" x14ac:dyDescent="0.3">
      <c r="A2849" s="502" t="s">
        <v>4550</v>
      </c>
      <c r="B2849" s="503" t="s">
        <v>4551</v>
      </c>
      <c r="C2849" s="514">
        <v>0</v>
      </c>
      <c r="D2849" s="514">
        <v>0</v>
      </c>
      <c r="E2849" s="514">
        <v>0</v>
      </c>
      <c r="F2849" s="514">
        <v>0</v>
      </c>
      <c r="G2849" s="514">
        <v>0</v>
      </c>
      <c r="H2849" s="514">
        <v>0</v>
      </c>
      <c r="I2849" s="514">
        <v>0</v>
      </c>
      <c r="J2849" s="514">
        <v>0</v>
      </c>
      <c r="K2849" s="514">
        <v>0</v>
      </c>
      <c r="L2849" s="514">
        <v>0</v>
      </c>
      <c r="M2849" s="514">
        <v>0</v>
      </c>
      <c r="N2849" s="514">
        <v>0</v>
      </c>
      <c r="O2849" s="499"/>
      <c r="P2849" s="499"/>
      <c r="Q2849" s="499"/>
    </row>
    <row r="2850" spans="1:17" ht="14.4" x14ac:dyDescent="0.3">
      <c r="A2850" s="502" t="s">
        <v>4552</v>
      </c>
      <c r="B2850" s="503" t="s">
        <v>4553</v>
      </c>
      <c r="C2850" s="514">
        <v>0</v>
      </c>
      <c r="D2850" s="514">
        <v>0</v>
      </c>
      <c r="E2850" s="514">
        <v>0</v>
      </c>
      <c r="F2850" s="514">
        <v>0</v>
      </c>
      <c r="G2850" s="514">
        <v>0</v>
      </c>
      <c r="H2850" s="514">
        <v>0</v>
      </c>
      <c r="I2850" s="514">
        <v>0</v>
      </c>
      <c r="J2850" s="514">
        <v>0</v>
      </c>
      <c r="K2850" s="514">
        <v>0</v>
      </c>
      <c r="L2850" s="514">
        <v>0</v>
      </c>
      <c r="M2850" s="514">
        <v>0</v>
      </c>
      <c r="N2850" s="514">
        <v>0</v>
      </c>
      <c r="O2850" s="499"/>
      <c r="P2850" s="499"/>
      <c r="Q2850" s="499"/>
    </row>
    <row r="2851" spans="1:17" ht="14.4" x14ac:dyDescent="0.3">
      <c r="A2851" s="502" t="s">
        <v>4554</v>
      </c>
      <c r="B2851" s="503" t="s">
        <v>4555</v>
      </c>
      <c r="C2851" s="514">
        <v>0</v>
      </c>
      <c r="D2851" s="514">
        <v>0</v>
      </c>
      <c r="E2851" s="514">
        <v>0</v>
      </c>
      <c r="F2851" s="514">
        <v>0</v>
      </c>
      <c r="G2851" s="514">
        <v>0</v>
      </c>
      <c r="H2851" s="514">
        <v>0</v>
      </c>
      <c r="I2851" s="514">
        <v>0</v>
      </c>
      <c r="J2851" s="514">
        <v>0</v>
      </c>
      <c r="K2851" s="514">
        <v>0</v>
      </c>
      <c r="L2851" s="514">
        <v>0</v>
      </c>
      <c r="M2851" s="514">
        <v>0</v>
      </c>
      <c r="N2851" s="514">
        <v>0</v>
      </c>
      <c r="O2851" s="499"/>
      <c r="P2851" s="499"/>
      <c r="Q2851" s="499"/>
    </row>
    <row r="2852" spans="1:17" ht="14.4" x14ac:dyDescent="0.3">
      <c r="A2852" s="502" t="s">
        <v>4556</v>
      </c>
      <c r="B2852" s="503" t="s">
        <v>4557</v>
      </c>
      <c r="C2852" s="514">
        <v>0</v>
      </c>
      <c r="D2852" s="514">
        <v>0</v>
      </c>
      <c r="E2852" s="514">
        <v>0</v>
      </c>
      <c r="F2852" s="514">
        <v>0</v>
      </c>
      <c r="G2852" s="514">
        <v>0</v>
      </c>
      <c r="H2852" s="514">
        <v>0</v>
      </c>
      <c r="I2852" s="514">
        <v>0</v>
      </c>
      <c r="J2852" s="514">
        <v>0</v>
      </c>
      <c r="K2852" s="514">
        <v>0</v>
      </c>
      <c r="L2852" s="514">
        <v>0</v>
      </c>
      <c r="M2852" s="514">
        <v>0</v>
      </c>
      <c r="N2852" s="514">
        <v>0</v>
      </c>
      <c r="O2852" s="499"/>
      <c r="P2852" s="499"/>
      <c r="Q2852" s="499"/>
    </row>
    <row r="2853" spans="1:17" ht="14.4" x14ac:dyDescent="0.3">
      <c r="A2853" s="502" t="s">
        <v>4558</v>
      </c>
      <c r="B2853" s="503" t="s">
        <v>4559</v>
      </c>
      <c r="C2853" s="514">
        <v>0</v>
      </c>
      <c r="D2853" s="514">
        <v>0</v>
      </c>
      <c r="E2853" s="514">
        <v>0</v>
      </c>
      <c r="F2853" s="514">
        <v>0</v>
      </c>
      <c r="G2853" s="514">
        <v>0</v>
      </c>
      <c r="H2853" s="514">
        <v>0</v>
      </c>
      <c r="I2853" s="514">
        <v>0</v>
      </c>
      <c r="J2853" s="514">
        <v>0</v>
      </c>
      <c r="K2853" s="514">
        <v>0</v>
      </c>
      <c r="L2853" s="514">
        <v>0</v>
      </c>
      <c r="M2853" s="514">
        <v>0</v>
      </c>
      <c r="N2853" s="514">
        <v>0</v>
      </c>
      <c r="O2853" s="499"/>
      <c r="P2853" s="499"/>
      <c r="Q2853" s="499"/>
    </row>
    <row r="2854" spans="1:17" ht="14.4" x14ac:dyDescent="0.3">
      <c r="A2854" s="502" t="s">
        <v>4560</v>
      </c>
      <c r="B2854" s="503" t="s">
        <v>4561</v>
      </c>
      <c r="C2854" s="514">
        <v>0</v>
      </c>
      <c r="D2854" s="514">
        <v>0</v>
      </c>
      <c r="E2854" s="514">
        <v>0</v>
      </c>
      <c r="F2854" s="514">
        <v>0</v>
      </c>
      <c r="G2854" s="514">
        <v>0</v>
      </c>
      <c r="H2854" s="514">
        <v>0</v>
      </c>
      <c r="I2854" s="514">
        <v>0</v>
      </c>
      <c r="J2854" s="514">
        <v>0</v>
      </c>
      <c r="K2854" s="514">
        <v>0</v>
      </c>
      <c r="L2854" s="514">
        <v>0</v>
      </c>
      <c r="M2854" s="514">
        <v>0</v>
      </c>
      <c r="N2854" s="514">
        <v>0</v>
      </c>
      <c r="O2854" s="499"/>
      <c r="P2854" s="499"/>
      <c r="Q2854" s="499"/>
    </row>
    <row r="2855" spans="1:17" ht="14.4" x14ac:dyDescent="0.3">
      <c r="A2855" s="502" t="s">
        <v>4562</v>
      </c>
      <c r="B2855" s="503" t="s">
        <v>4563</v>
      </c>
      <c r="C2855" s="514">
        <v>0</v>
      </c>
      <c r="D2855" s="514">
        <v>0</v>
      </c>
      <c r="E2855" s="514">
        <v>0</v>
      </c>
      <c r="F2855" s="514">
        <v>0</v>
      </c>
      <c r="G2855" s="514">
        <v>0</v>
      </c>
      <c r="H2855" s="514">
        <v>0</v>
      </c>
      <c r="I2855" s="514">
        <v>0</v>
      </c>
      <c r="J2855" s="514">
        <v>0</v>
      </c>
      <c r="K2855" s="514">
        <v>0</v>
      </c>
      <c r="L2855" s="514">
        <v>0</v>
      </c>
      <c r="M2855" s="514">
        <v>0</v>
      </c>
      <c r="N2855" s="514">
        <v>0</v>
      </c>
      <c r="O2855" s="499"/>
      <c r="P2855" s="499"/>
      <c r="Q2855" s="499"/>
    </row>
    <row r="2856" spans="1:17" ht="14.4" x14ac:dyDescent="0.3">
      <c r="A2856" s="502" t="s">
        <v>4564</v>
      </c>
      <c r="B2856" s="503" t="s">
        <v>4565</v>
      </c>
      <c r="C2856" s="514">
        <v>0</v>
      </c>
      <c r="D2856" s="514">
        <v>0</v>
      </c>
      <c r="E2856" s="514">
        <v>0</v>
      </c>
      <c r="F2856" s="514">
        <v>0</v>
      </c>
      <c r="G2856" s="514">
        <v>0</v>
      </c>
      <c r="H2856" s="514">
        <v>0</v>
      </c>
      <c r="I2856" s="514">
        <v>0</v>
      </c>
      <c r="J2856" s="514">
        <v>0</v>
      </c>
      <c r="K2856" s="514">
        <v>0</v>
      </c>
      <c r="L2856" s="514">
        <v>0</v>
      </c>
      <c r="M2856" s="514">
        <v>0</v>
      </c>
      <c r="N2856" s="514">
        <v>0</v>
      </c>
      <c r="O2856" s="499"/>
      <c r="P2856" s="499"/>
      <c r="Q2856" s="499"/>
    </row>
    <row r="2857" spans="1:17" ht="14.4" x14ac:dyDescent="0.3">
      <c r="A2857" s="502" t="s">
        <v>4566</v>
      </c>
      <c r="B2857" s="503" t="s">
        <v>4567</v>
      </c>
      <c r="C2857" s="514">
        <v>0</v>
      </c>
      <c r="D2857" s="514">
        <v>0</v>
      </c>
      <c r="E2857" s="514">
        <v>0</v>
      </c>
      <c r="F2857" s="514">
        <v>0</v>
      </c>
      <c r="G2857" s="514">
        <v>0</v>
      </c>
      <c r="H2857" s="514">
        <v>0</v>
      </c>
      <c r="I2857" s="514">
        <v>0</v>
      </c>
      <c r="J2857" s="514">
        <v>0</v>
      </c>
      <c r="K2857" s="514">
        <v>0</v>
      </c>
      <c r="L2857" s="514">
        <v>0</v>
      </c>
      <c r="M2857" s="514">
        <v>0</v>
      </c>
      <c r="N2857" s="514">
        <v>0</v>
      </c>
      <c r="O2857" s="499"/>
      <c r="P2857" s="499"/>
      <c r="Q2857" s="499"/>
    </row>
    <row r="2858" spans="1:17" ht="14.4" x14ac:dyDescent="0.3">
      <c r="A2858" s="502" t="s">
        <v>4568</v>
      </c>
      <c r="B2858" s="503" t="s">
        <v>4569</v>
      </c>
      <c r="C2858" s="514">
        <v>0</v>
      </c>
      <c r="D2858" s="514">
        <v>0</v>
      </c>
      <c r="E2858" s="514">
        <v>0</v>
      </c>
      <c r="F2858" s="514">
        <v>0</v>
      </c>
      <c r="G2858" s="514">
        <v>0</v>
      </c>
      <c r="H2858" s="514">
        <v>0</v>
      </c>
      <c r="I2858" s="514">
        <v>0</v>
      </c>
      <c r="J2858" s="514">
        <v>0</v>
      </c>
      <c r="K2858" s="514">
        <v>0</v>
      </c>
      <c r="L2858" s="514">
        <v>0</v>
      </c>
      <c r="M2858" s="514">
        <v>0</v>
      </c>
      <c r="N2858" s="514">
        <v>0</v>
      </c>
      <c r="O2858" s="499"/>
      <c r="P2858" s="499"/>
      <c r="Q2858" s="499"/>
    </row>
    <row r="2859" spans="1:17" ht="14.4" x14ac:dyDescent="0.3">
      <c r="A2859" s="502" t="s">
        <v>4570</v>
      </c>
      <c r="B2859" s="503" t="s">
        <v>4571</v>
      </c>
      <c r="C2859" s="514">
        <v>0</v>
      </c>
      <c r="D2859" s="514">
        <v>0</v>
      </c>
      <c r="E2859" s="514">
        <v>0</v>
      </c>
      <c r="F2859" s="514">
        <v>0</v>
      </c>
      <c r="G2859" s="514">
        <v>0</v>
      </c>
      <c r="H2859" s="514">
        <v>0</v>
      </c>
      <c r="I2859" s="514">
        <v>0</v>
      </c>
      <c r="J2859" s="514">
        <v>0</v>
      </c>
      <c r="K2859" s="514">
        <v>0</v>
      </c>
      <c r="L2859" s="514">
        <v>0</v>
      </c>
      <c r="M2859" s="514">
        <v>0</v>
      </c>
      <c r="N2859" s="514">
        <v>0</v>
      </c>
      <c r="O2859" s="499"/>
      <c r="P2859" s="499"/>
      <c r="Q2859" s="499"/>
    </row>
    <row r="2860" spans="1:17" ht="14.4" x14ac:dyDescent="0.3">
      <c r="A2860" s="502" t="s">
        <v>4572</v>
      </c>
      <c r="B2860" s="503" t="s">
        <v>4573</v>
      </c>
      <c r="C2860" s="514">
        <v>0</v>
      </c>
      <c r="D2860" s="514">
        <v>0</v>
      </c>
      <c r="E2860" s="514">
        <v>0</v>
      </c>
      <c r="F2860" s="514">
        <v>0</v>
      </c>
      <c r="G2860" s="514">
        <v>0</v>
      </c>
      <c r="H2860" s="514">
        <v>0</v>
      </c>
      <c r="I2860" s="514">
        <v>0</v>
      </c>
      <c r="J2860" s="514">
        <v>0</v>
      </c>
      <c r="K2860" s="514">
        <v>0</v>
      </c>
      <c r="L2860" s="514">
        <v>0</v>
      </c>
      <c r="M2860" s="514">
        <v>0</v>
      </c>
      <c r="N2860" s="514">
        <v>0</v>
      </c>
      <c r="O2860" s="499"/>
      <c r="P2860" s="499"/>
      <c r="Q2860" s="499"/>
    </row>
    <row r="2861" spans="1:17" ht="14.4" x14ac:dyDescent="0.3">
      <c r="A2861" s="502" t="s">
        <v>4574</v>
      </c>
      <c r="B2861" s="503" t="s">
        <v>4575</v>
      </c>
      <c r="C2861" s="514">
        <v>0</v>
      </c>
      <c r="D2861" s="514">
        <v>0</v>
      </c>
      <c r="E2861" s="514">
        <v>0</v>
      </c>
      <c r="F2861" s="514">
        <v>0</v>
      </c>
      <c r="G2861" s="514">
        <v>0</v>
      </c>
      <c r="H2861" s="514">
        <v>0</v>
      </c>
      <c r="I2861" s="514">
        <v>0</v>
      </c>
      <c r="J2861" s="514">
        <v>0</v>
      </c>
      <c r="K2861" s="514">
        <v>0</v>
      </c>
      <c r="L2861" s="514">
        <v>0</v>
      </c>
      <c r="M2861" s="514">
        <v>0</v>
      </c>
      <c r="N2861" s="514">
        <v>0</v>
      </c>
      <c r="O2861" s="499"/>
      <c r="P2861" s="499"/>
      <c r="Q2861" s="499"/>
    </row>
    <row r="2862" spans="1:17" ht="14.4" x14ac:dyDescent="0.3">
      <c r="A2862" s="502" t="s">
        <v>4576</v>
      </c>
      <c r="B2862" s="503" t="s">
        <v>4577</v>
      </c>
      <c r="C2862" s="514">
        <v>0</v>
      </c>
      <c r="D2862" s="514">
        <v>0</v>
      </c>
      <c r="E2862" s="514">
        <v>0</v>
      </c>
      <c r="F2862" s="514">
        <v>0</v>
      </c>
      <c r="G2862" s="514">
        <v>0</v>
      </c>
      <c r="H2862" s="514">
        <v>0</v>
      </c>
      <c r="I2862" s="514">
        <v>0</v>
      </c>
      <c r="J2862" s="514">
        <v>0</v>
      </c>
      <c r="K2862" s="514">
        <v>0</v>
      </c>
      <c r="L2862" s="514">
        <v>0</v>
      </c>
      <c r="M2862" s="514">
        <v>0</v>
      </c>
      <c r="N2862" s="514">
        <v>0</v>
      </c>
      <c r="O2862" s="499"/>
      <c r="P2862" s="499"/>
      <c r="Q2862" s="499"/>
    </row>
    <row r="2863" spans="1:17" ht="14.4" x14ac:dyDescent="0.3">
      <c r="A2863" s="502" t="s">
        <v>4578</v>
      </c>
      <c r="B2863" s="503" t="s">
        <v>4579</v>
      </c>
      <c r="C2863" s="514">
        <v>0</v>
      </c>
      <c r="D2863" s="514">
        <v>0</v>
      </c>
      <c r="E2863" s="514">
        <v>0</v>
      </c>
      <c r="F2863" s="514">
        <v>0</v>
      </c>
      <c r="G2863" s="514">
        <v>0</v>
      </c>
      <c r="H2863" s="514">
        <v>0</v>
      </c>
      <c r="I2863" s="514">
        <v>0</v>
      </c>
      <c r="J2863" s="514">
        <v>0</v>
      </c>
      <c r="K2863" s="514">
        <v>0</v>
      </c>
      <c r="L2863" s="514">
        <v>0</v>
      </c>
      <c r="M2863" s="514">
        <v>0</v>
      </c>
      <c r="N2863" s="514">
        <v>0</v>
      </c>
      <c r="O2863" s="499"/>
      <c r="P2863" s="499"/>
      <c r="Q2863" s="499"/>
    </row>
    <row r="2864" spans="1:17" ht="14.4" x14ac:dyDescent="0.3">
      <c r="A2864" s="502" t="s">
        <v>4580</v>
      </c>
      <c r="B2864" s="503" t="s">
        <v>4579</v>
      </c>
      <c r="C2864" s="514">
        <v>0</v>
      </c>
      <c r="D2864" s="514">
        <v>0</v>
      </c>
      <c r="E2864" s="514">
        <v>0</v>
      </c>
      <c r="F2864" s="514">
        <v>0</v>
      </c>
      <c r="G2864" s="514">
        <v>0</v>
      </c>
      <c r="H2864" s="514">
        <v>0</v>
      </c>
      <c r="I2864" s="514">
        <v>0</v>
      </c>
      <c r="J2864" s="514">
        <v>0</v>
      </c>
      <c r="K2864" s="514">
        <v>0</v>
      </c>
      <c r="L2864" s="514">
        <v>0</v>
      </c>
      <c r="M2864" s="514">
        <v>0</v>
      </c>
      <c r="N2864" s="514">
        <v>0</v>
      </c>
      <c r="O2864" s="499"/>
      <c r="P2864" s="499"/>
      <c r="Q2864" s="499"/>
    </row>
    <row r="2865" spans="1:17" ht="14.4" x14ac:dyDescent="0.3">
      <c r="A2865" s="502" t="s">
        <v>4581</v>
      </c>
      <c r="B2865" s="503" t="s">
        <v>4582</v>
      </c>
      <c r="C2865" s="514">
        <v>0</v>
      </c>
      <c r="D2865" s="514">
        <v>0</v>
      </c>
      <c r="E2865" s="514">
        <v>0</v>
      </c>
      <c r="F2865" s="514">
        <v>0</v>
      </c>
      <c r="G2865" s="514">
        <v>0</v>
      </c>
      <c r="H2865" s="514">
        <v>0</v>
      </c>
      <c r="I2865" s="514">
        <v>0</v>
      </c>
      <c r="J2865" s="514">
        <v>0</v>
      </c>
      <c r="K2865" s="514">
        <v>0</v>
      </c>
      <c r="L2865" s="514">
        <v>0</v>
      </c>
      <c r="M2865" s="514">
        <v>0</v>
      </c>
      <c r="N2865" s="514">
        <v>0</v>
      </c>
      <c r="O2865" s="499"/>
      <c r="P2865" s="499"/>
      <c r="Q2865" s="499"/>
    </row>
    <row r="2866" spans="1:17" ht="14.4" x14ac:dyDescent="0.3">
      <c r="A2866" s="502" t="s">
        <v>4583</v>
      </c>
      <c r="B2866" s="503" t="s">
        <v>4584</v>
      </c>
      <c r="C2866" s="514">
        <v>0</v>
      </c>
      <c r="D2866" s="514">
        <v>0</v>
      </c>
      <c r="E2866" s="514">
        <v>0</v>
      </c>
      <c r="F2866" s="514">
        <v>0</v>
      </c>
      <c r="G2866" s="514">
        <v>0</v>
      </c>
      <c r="H2866" s="514">
        <v>0</v>
      </c>
      <c r="I2866" s="514">
        <v>0</v>
      </c>
      <c r="J2866" s="514">
        <v>0</v>
      </c>
      <c r="K2866" s="514">
        <v>0</v>
      </c>
      <c r="L2866" s="514">
        <v>0</v>
      </c>
      <c r="M2866" s="514">
        <v>0</v>
      </c>
      <c r="N2866" s="514">
        <v>0</v>
      </c>
      <c r="O2866" s="499"/>
      <c r="P2866" s="499"/>
      <c r="Q2866" s="499"/>
    </row>
    <row r="2867" spans="1:17" ht="14.4" x14ac:dyDescent="0.3">
      <c r="A2867" s="502" t="s">
        <v>4585</v>
      </c>
      <c r="B2867" s="503" t="s">
        <v>4586</v>
      </c>
      <c r="C2867" s="514">
        <v>0</v>
      </c>
      <c r="D2867" s="514">
        <v>0</v>
      </c>
      <c r="E2867" s="514">
        <v>0</v>
      </c>
      <c r="F2867" s="514">
        <v>0</v>
      </c>
      <c r="G2867" s="514">
        <v>0</v>
      </c>
      <c r="H2867" s="514">
        <v>0</v>
      </c>
      <c r="I2867" s="514">
        <v>0</v>
      </c>
      <c r="J2867" s="514">
        <v>0</v>
      </c>
      <c r="K2867" s="514">
        <v>0</v>
      </c>
      <c r="L2867" s="514">
        <v>0</v>
      </c>
      <c r="M2867" s="514">
        <v>0</v>
      </c>
      <c r="N2867" s="514">
        <v>0</v>
      </c>
      <c r="O2867" s="499"/>
      <c r="P2867" s="499"/>
      <c r="Q2867" s="499"/>
    </row>
    <row r="2868" spans="1:17" ht="14.4" x14ac:dyDescent="0.3">
      <c r="A2868" s="502" t="s">
        <v>4587</v>
      </c>
      <c r="B2868" s="503" t="s">
        <v>4588</v>
      </c>
      <c r="C2868" s="514">
        <v>0</v>
      </c>
      <c r="D2868" s="514">
        <v>0</v>
      </c>
      <c r="E2868" s="514">
        <v>0</v>
      </c>
      <c r="F2868" s="514">
        <v>0</v>
      </c>
      <c r="G2868" s="514">
        <v>0</v>
      </c>
      <c r="H2868" s="514">
        <v>0</v>
      </c>
      <c r="I2868" s="514">
        <v>0</v>
      </c>
      <c r="J2868" s="514">
        <v>0</v>
      </c>
      <c r="K2868" s="514">
        <v>0</v>
      </c>
      <c r="L2868" s="514">
        <v>0</v>
      </c>
      <c r="M2868" s="514">
        <v>0</v>
      </c>
      <c r="N2868" s="514">
        <v>0</v>
      </c>
      <c r="O2868" s="499"/>
      <c r="P2868" s="499"/>
      <c r="Q2868" s="499"/>
    </row>
    <row r="2869" spans="1:17" ht="14.4" x14ac:dyDescent="0.3">
      <c r="A2869" s="502" t="s">
        <v>4589</v>
      </c>
      <c r="B2869" s="503" t="s">
        <v>4590</v>
      </c>
      <c r="C2869" s="514">
        <v>0</v>
      </c>
      <c r="D2869" s="514">
        <v>0</v>
      </c>
      <c r="E2869" s="514">
        <v>0</v>
      </c>
      <c r="F2869" s="514">
        <v>0</v>
      </c>
      <c r="G2869" s="514">
        <v>0</v>
      </c>
      <c r="H2869" s="514">
        <v>0</v>
      </c>
      <c r="I2869" s="514">
        <v>0</v>
      </c>
      <c r="J2869" s="514">
        <v>0</v>
      </c>
      <c r="K2869" s="514">
        <v>0</v>
      </c>
      <c r="L2869" s="514">
        <v>0</v>
      </c>
      <c r="M2869" s="514">
        <v>0</v>
      </c>
      <c r="N2869" s="514">
        <v>0</v>
      </c>
      <c r="O2869" s="499"/>
      <c r="P2869" s="499"/>
      <c r="Q2869" s="499"/>
    </row>
    <row r="2870" spans="1:17" ht="14.4" x14ac:dyDescent="0.3">
      <c r="A2870" s="502" t="s">
        <v>4591</v>
      </c>
      <c r="B2870" s="503" t="s">
        <v>4592</v>
      </c>
      <c r="C2870" s="514">
        <v>0</v>
      </c>
      <c r="D2870" s="514">
        <v>0</v>
      </c>
      <c r="E2870" s="514">
        <v>0</v>
      </c>
      <c r="F2870" s="514">
        <v>0</v>
      </c>
      <c r="G2870" s="514">
        <v>0</v>
      </c>
      <c r="H2870" s="514">
        <v>0</v>
      </c>
      <c r="I2870" s="514">
        <v>0</v>
      </c>
      <c r="J2870" s="514">
        <v>0</v>
      </c>
      <c r="K2870" s="514">
        <v>0</v>
      </c>
      <c r="L2870" s="514">
        <v>0</v>
      </c>
      <c r="M2870" s="514">
        <v>0</v>
      </c>
      <c r="N2870" s="514">
        <v>0</v>
      </c>
      <c r="O2870" s="499"/>
      <c r="P2870" s="499"/>
      <c r="Q2870" s="499"/>
    </row>
    <row r="2871" spans="1:17" ht="14.4" x14ac:dyDescent="0.3">
      <c r="A2871" s="502" t="s">
        <v>4593</v>
      </c>
      <c r="B2871" s="503" t="s">
        <v>4594</v>
      </c>
      <c r="C2871" s="514">
        <v>0</v>
      </c>
      <c r="D2871" s="514">
        <v>0</v>
      </c>
      <c r="E2871" s="514">
        <v>0</v>
      </c>
      <c r="F2871" s="514">
        <v>0</v>
      </c>
      <c r="G2871" s="514">
        <v>0</v>
      </c>
      <c r="H2871" s="514">
        <v>0</v>
      </c>
      <c r="I2871" s="514">
        <v>0</v>
      </c>
      <c r="J2871" s="514">
        <v>0</v>
      </c>
      <c r="K2871" s="514">
        <v>0</v>
      </c>
      <c r="L2871" s="514">
        <v>0</v>
      </c>
      <c r="M2871" s="514">
        <v>0</v>
      </c>
      <c r="N2871" s="514">
        <v>0</v>
      </c>
      <c r="O2871" s="499"/>
      <c r="P2871" s="499"/>
      <c r="Q2871" s="499"/>
    </row>
    <row r="2872" spans="1:17" ht="14.4" x14ac:dyDescent="0.3">
      <c r="A2872" s="502" t="s">
        <v>4595</v>
      </c>
      <c r="B2872" s="503" t="s">
        <v>4596</v>
      </c>
      <c r="C2872" s="514">
        <v>0</v>
      </c>
      <c r="D2872" s="514">
        <v>0</v>
      </c>
      <c r="E2872" s="514">
        <v>0</v>
      </c>
      <c r="F2872" s="514">
        <v>0</v>
      </c>
      <c r="G2872" s="514">
        <v>0</v>
      </c>
      <c r="H2872" s="514">
        <v>0</v>
      </c>
      <c r="I2872" s="514">
        <v>0</v>
      </c>
      <c r="J2872" s="514">
        <v>0</v>
      </c>
      <c r="K2872" s="514">
        <v>0</v>
      </c>
      <c r="L2872" s="514">
        <v>0</v>
      </c>
      <c r="M2872" s="514">
        <v>0</v>
      </c>
      <c r="N2872" s="514">
        <v>0</v>
      </c>
      <c r="O2872" s="499"/>
      <c r="P2872" s="499"/>
      <c r="Q2872" s="499"/>
    </row>
    <row r="2873" spans="1:17" ht="14.4" x14ac:dyDescent="0.3">
      <c r="A2873" s="502" t="s">
        <v>4597</v>
      </c>
      <c r="B2873" s="503" t="s">
        <v>4596</v>
      </c>
      <c r="C2873" s="514">
        <v>0</v>
      </c>
      <c r="D2873" s="514">
        <v>0</v>
      </c>
      <c r="E2873" s="514">
        <v>0</v>
      </c>
      <c r="F2873" s="514">
        <v>0</v>
      </c>
      <c r="G2873" s="514">
        <v>0</v>
      </c>
      <c r="H2873" s="514">
        <v>0</v>
      </c>
      <c r="I2873" s="514">
        <v>0</v>
      </c>
      <c r="J2873" s="514">
        <v>0</v>
      </c>
      <c r="K2873" s="514">
        <v>0</v>
      </c>
      <c r="L2873" s="514">
        <v>0</v>
      </c>
      <c r="M2873" s="514">
        <v>0</v>
      </c>
      <c r="N2873" s="514">
        <v>0</v>
      </c>
      <c r="O2873" s="499"/>
      <c r="P2873" s="499"/>
      <c r="Q2873" s="499"/>
    </row>
    <row r="2874" spans="1:17" ht="14.4" x14ac:dyDescent="0.3">
      <c r="A2874" s="502" t="s">
        <v>4598</v>
      </c>
      <c r="B2874" s="503" t="s">
        <v>4599</v>
      </c>
      <c r="C2874" s="514">
        <v>0</v>
      </c>
      <c r="D2874" s="514">
        <v>0</v>
      </c>
      <c r="E2874" s="514">
        <v>0</v>
      </c>
      <c r="F2874" s="514">
        <v>0</v>
      </c>
      <c r="G2874" s="514">
        <v>0</v>
      </c>
      <c r="H2874" s="514">
        <v>0</v>
      </c>
      <c r="I2874" s="514">
        <v>0</v>
      </c>
      <c r="J2874" s="514">
        <v>0</v>
      </c>
      <c r="K2874" s="514">
        <v>0</v>
      </c>
      <c r="L2874" s="514">
        <v>0</v>
      </c>
      <c r="M2874" s="514">
        <v>0</v>
      </c>
      <c r="N2874" s="514">
        <v>0</v>
      </c>
      <c r="O2874" s="499"/>
      <c r="P2874" s="499"/>
      <c r="Q2874" s="499"/>
    </row>
    <row r="2875" spans="1:17" ht="14.4" x14ac:dyDescent="0.3">
      <c r="A2875" s="502" t="s">
        <v>4600</v>
      </c>
      <c r="B2875" s="503" t="s">
        <v>4601</v>
      </c>
      <c r="C2875" s="514">
        <v>0</v>
      </c>
      <c r="D2875" s="514">
        <v>0</v>
      </c>
      <c r="E2875" s="514">
        <v>0</v>
      </c>
      <c r="F2875" s="514">
        <v>0</v>
      </c>
      <c r="G2875" s="514">
        <v>0</v>
      </c>
      <c r="H2875" s="514">
        <v>0</v>
      </c>
      <c r="I2875" s="514">
        <v>0</v>
      </c>
      <c r="J2875" s="514">
        <v>0</v>
      </c>
      <c r="K2875" s="514">
        <v>0</v>
      </c>
      <c r="L2875" s="514">
        <v>0</v>
      </c>
      <c r="M2875" s="514">
        <v>0</v>
      </c>
      <c r="N2875" s="514">
        <v>0</v>
      </c>
      <c r="O2875" s="499"/>
      <c r="P2875" s="499"/>
      <c r="Q2875" s="499"/>
    </row>
    <row r="2876" spans="1:17" ht="14.4" x14ac:dyDescent="0.3">
      <c r="A2876" s="502" t="s">
        <v>4602</v>
      </c>
      <c r="B2876" s="503" t="s">
        <v>4603</v>
      </c>
      <c r="C2876" s="514">
        <v>0</v>
      </c>
      <c r="D2876" s="514">
        <v>0</v>
      </c>
      <c r="E2876" s="514">
        <v>0</v>
      </c>
      <c r="F2876" s="514">
        <v>0</v>
      </c>
      <c r="G2876" s="514">
        <v>0</v>
      </c>
      <c r="H2876" s="514">
        <v>0</v>
      </c>
      <c r="I2876" s="514">
        <v>0</v>
      </c>
      <c r="J2876" s="514">
        <v>0</v>
      </c>
      <c r="K2876" s="514">
        <v>0</v>
      </c>
      <c r="L2876" s="514">
        <v>0</v>
      </c>
      <c r="M2876" s="514">
        <v>0</v>
      </c>
      <c r="N2876" s="514">
        <v>0</v>
      </c>
      <c r="O2876" s="499"/>
      <c r="P2876" s="499"/>
      <c r="Q2876" s="499"/>
    </row>
    <row r="2877" spans="1:17" ht="14.4" x14ac:dyDescent="0.3">
      <c r="A2877" s="502" t="s">
        <v>4604</v>
      </c>
      <c r="B2877" s="503" t="s">
        <v>4605</v>
      </c>
      <c r="C2877" s="514">
        <v>0</v>
      </c>
      <c r="D2877" s="514">
        <v>0</v>
      </c>
      <c r="E2877" s="514">
        <v>0</v>
      </c>
      <c r="F2877" s="514">
        <v>0</v>
      </c>
      <c r="G2877" s="514">
        <v>0</v>
      </c>
      <c r="H2877" s="514">
        <v>0</v>
      </c>
      <c r="I2877" s="514">
        <v>0</v>
      </c>
      <c r="J2877" s="514">
        <v>0</v>
      </c>
      <c r="K2877" s="514">
        <v>0</v>
      </c>
      <c r="L2877" s="514">
        <v>0</v>
      </c>
      <c r="M2877" s="514">
        <v>0</v>
      </c>
      <c r="N2877" s="514">
        <v>0</v>
      </c>
      <c r="O2877" s="499"/>
      <c r="P2877" s="499"/>
      <c r="Q2877" s="499"/>
    </row>
    <row r="2878" spans="1:17" ht="14.4" x14ac:dyDescent="0.3">
      <c r="A2878" s="502" t="s">
        <v>4606</v>
      </c>
      <c r="B2878" s="503" t="s">
        <v>4607</v>
      </c>
      <c r="C2878" s="514">
        <v>0</v>
      </c>
      <c r="D2878" s="514">
        <v>0</v>
      </c>
      <c r="E2878" s="514">
        <v>0</v>
      </c>
      <c r="F2878" s="514">
        <v>0</v>
      </c>
      <c r="G2878" s="514">
        <v>0</v>
      </c>
      <c r="H2878" s="514">
        <v>0</v>
      </c>
      <c r="I2878" s="514">
        <v>0</v>
      </c>
      <c r="J2878" s="514">
        <v>0</v>
      </c>
      <c r="K2878" s="514">
        <v>0</v>
      </c>
      <c r="L2878" s="514">
        <v>0</v>
      </c>
      <c r="M2878" s="514">
        <v>0</v>
      </c>
      <c r="N2878" s="514">
        <v>0</v>
      </c>
      <c r="O2878" s="499"/>
      <c r="P2878" s="499"/>
      <c r="Q2878" s="499"/>
    </row>
    <row r="2879" spans="1:17" ht="14.4" x14ac:dyDescent="0.3">
      <c r="A2879" s="502" t="s">
        <v>4608</v>
      </c>
      <c r="B2879" s="503" t="s">
        <v>4609</v>
      </c>
      <c r="C2879" s="514">
        <v>0</v>
      </c>
      <c r="D2879" s="514">
        <v>0</v>
      </c>
      <c r="E2879" s="514">
        <v>0</v>
      </c>
      <c r="F2879" s="514">
        <v>0</v>
      </c>
      <c r="G2879" s="514">
        <v>0</v>
      </c>
      <c r="H2879" s="514">
        <v>0</v>
      </c>
      <c r="I2879" s="514">
        <v>0</v>
      </c>
      <c r="J2879" s="514">
        <v>0</v>
      </c>
      <c r="K2879" s="514">
        <v>0</v>
      </c>
      <c r="L2879" s="514">
        <v>0</v>
      </c>
      <c r="M2879" s="514">
        <v>0</v>
      </c>
      <c r="N2879" s="514">
        <v>0</v>
      </c>
      <c r="O2879" s="499"/>
      <c r="P2879" s="499"/>
      <c r="Q2879" s="499"/>
    </row>
    <row r="2880" spans="1:17" ht="14.4" x14ac:dyDescent="0.3">
      <c r="A2880" s="502" t="s">
        <v>4610</v>
      </c>
      <c r="B2880" s="503" t="s">
        <v>4611</v>
      </c>
      <c r="C2880" s="514">
        <v>0</v>
      </c>
      <c r="D2880" s="514">
        <v>0</v>
      </c>
      <c r="E2880" s="514">
        <v>0</v>
      </c>
      <c r="F2880" s="514">
        <v>0</v>
      </c>
      <c r="G2880" s="514">
        <v>0</v>
      </c>
      <c r="H2880" s="514">
        <v>0</v>
      </c>
      <c r="I2880" s="514">
        <v>0</v>
      </c>
      <c r="J2880" s="514">
        <v>0</v>
      </c>
      <c r="K2880" s="514">
        <v>0</v>
      </c>
      <c r="L2880" s="514">
        <v>0</v>
      </c>
      <c r="M2880" s="514">
        <v>0</v>
      </c>
      <c r="N2880" s="514">
        <v>0</v>
      </c>
      <c r="O2880" s="499"/>
      <c r="P2880" s="499"/>
      <c r="Q2880" s="499"/>
    </row>
    <row r="2881" spans="1:17" ht="14.4" x14ac:dyDescent="0.3">
      <c r="A2881" s="502" t="s">
        <v>4612</v>
      </c>
      <c r="B2881" s="503" t="s">
        <v>4613</v>
      </c>
      <c r="C2881" s="514">
        <v>0</v>
      </c>
      <c r="D2881" s="514">
        <v>0</v>
      </c>
      <c r="E2881" s="514">
        <v>0</v>
      </c>
      <c r="F2881" s="514">
        <v>0</v>
      </c>
      <c r="G2881" s="514">
        <v>0</v>
      </c>
      <c r="H2881" s="514">
        <v>0</v>
      </c>
      <c r="I2881" s="514">
        <v>0</v>
      </c>
      <c r="J2881" s="514">
        <v>0</v>
      </c>
      <c r="K2881" s="514">
        <v>0</v>
      </c>
      <c r="L2881" s="514">
        <v>0</v>
      </c>
      <c r="M2881" s="514">
        <v>0</v>
      </c>
      <c r="N2881" s="514">
        <v>0</v>
      </c>
      <c r="O2881" s="499"/>
      <c r="P2881" s="499"/>
      <c r="Q2881" s="499"/>
    </row>
    <row r="2882" spans="1:17" ht="14.4" x14ac:dyDescent="0.3">
      <c r="A2882" s="502" t="s">
        <v>4614</v>
      </c>
      <c r="B2882" s="503" t="s">
        <v>4615</v>
      </c>
      <c r="C2882" s="514">
        <v>0</v>
      </c>
      <c r="D2882" s="514">
        <v>0</v>
      </c>
      <c r="E2882" s="514">
        <v>0</v>
      </c>
      <c r="F2882" s="514">
        <v>0</v>
      </c>
      <c r="G2882" s="514">
        <v>0</v>
      </c>
      <c r="H2882" s="514">
        <v>0</v>
      </c>
      <c r="I2882" s="514">
        <v>0</v>
      </c>
      <c r="J2882" s="514">
        <v>0</v>
      </c>
      <c r="K2882" s="514">
        <v>0</v>
      </c>
      <c r="L2882" s="514">
        <v>0</v>
      </c>
      <c r="M2882" s="514">
        <v>0</v>
      </c>
      <c r="N2882" s="514">
        <v>0</v>
      </c>
      <c r="O2882" s="499"/>
      <c r="P2882" s="499"/>
      <c r="Q2882" s="499"/>
    </row>
    <row r="2883" spans="1:17" ht="14.4" x14ac:dyDescent="0.3">
      <c r="A2883" s="502" t="s">
        <v>4616</v>
      </c>
      <c r="B2883" s="503" t="s">
        <v>4617</v>
      </c>
      <c r="C2883" s="514">
        <v>0</v>
      </c>
      <c r="D2883" s="514">
        <v>0</v>
      </c>
      <c r="E2883" s="514">
        <v>0</v>
      </c>
      <c r="F2883" s="514">
        <v>0</v>
      </c>
      <c r="G2883" s="514">
        <v>0</v>
      </c>
      <c r="H2883" s="514">
        <v>0</v>
      </c>
      <c r="I2883" s="514">
        <v>0</v>
      </c>
      <c r="J2883" s="514">
        <v>0</v>
      </c>
      <c r="K2883" s="514">
        <v>0</v>
      </c>
      <c r="L2883" s="514">
        <v>0</v>
      </c>
      <c r="M2883" s="514">
        <v>0</v>
      </c>
      <c r="N2883" s="514">
        <v>0</v>
      </c>
      <c r="O2883" s="499"/>
      <c r="P2883" s="499"/>
      <c r="Q2883" s="499"/>
    </row>
    <row r="2884" spans="1:17" ht="14.4" x14ac:dyDescent="0.3">
      <c r="A2884" s="502" t="s">
        <v>4618</v>
      </c>
      <c r="B2884" s="503" t="s">
        <v>4619</v>
      </c>
      <c r="C2884" s="514">
        <v>0</v>
      </c>
      <c r="D2884" s="514">
        <v>0</v>
      </c>
      <c r="E2884" s="514">
        <v>0</v>
      </c>
      <c r="F2884" s="514">
        <v>0</v>
      </c>
      <c r="G2884" s="514">
        <v>0</v>
      </c>
      <c r="H2884" s="514">
        <v>0</v>
      </c>
      <c r="I2884" s="514">
        <v>0</v>
      </c>
      <c r="J2884" s="514">
        <v>0</v>
      </c>
      <c r="K2884" s="514">
        <v>0</v>
      </c>
      <c r="L2884" s="514">
        <v>0</v>
      </c>
      <c r="M2884" s="514">
        <v>0</v>
      </c>
      <c r="N2884" s="514">
        <v>0</v>
      </c>
      <c r="O2884" s="499"/>
      <c r="P2884" s="499"/>
      <c r="Q2884" s="499"/>
    </row>
    <row r="2885" spans="1:17" ht="14.4" x14ac:dyDescent="0.3">
      <c r="A2885" s="502" t="s">
        <v>4620</v>
      </c>
      <c r="B2885" s="503" t="s">
        <v>4621</v>
      </c>
      <c r="C2885" s="514">
        <v>0</v>
      </c>
      <c r="D2885" s="514">
        <v>0</v>
      </c>
      <c r="E2885" s="514">
        <v>0</v>
      </c>
      <c r="F2885" s="514">
        <v>0</v>
      </c>
      <c r="G2885" s="514">
        <v>0</v>
      </c>
      <c r="H2885" s="514">
        <v>0</v>
      </c>
      <c r="I2885" s="514">
        <v>0</v>
      </c>
      <c r="J2885" s="514">
        <v>0</v>
      </c>
      <c r="K2885" s="514">
        <v>0</v>
      </c>
      <c r="L2885" s="514">
        <v>0</v>
      </c>
      <c r="M2885" s="514">
        <v>0</v>
      </c>
      <c r="N2885" s="514">
        <v>0</v>
      </c>
      <c r="O2885" s="499"/>
      <c r="P2885" s="499"/>
      <c r="Q2885" s="499"/>
    </row>
    <row r="2886" spans="1:17" ht="14.4" x14ac:dyDescent="0.3">
      <c r="A2886" s="502" t="s">
        <v>4622</v>
      </c>
      <c r="B2886" s="503" t="s">
        <v>4623</v>
      </c>
      <c r="C2886" s="514">
        <v>0</v>
      </c>
      <c r="D2886" s="514">
        <v>0</v>
      </c>
      <c r="E2886" s="514">
        <v>0</v>
      </c>
      <c r="F2886" s="514">
        <v>0</v>
      </c>
      <c r="G2886" s="514">
        <v>0</v>
      </c>
      <c r="H2886" s="514">
        <v>0</v>
      </c>
      <c r="I2886" s="514">
        <v>0</v>
      </c>
      <c r="J2886" s="514">
        <v>0</v>
      </c>
      <c r="K2886" s="514">
        <v>0</v>
      </c>
      <c r="L2886" s="514">
        <v>0</v>
      </c>
      <c r="M2886" s="514">
        <v>0</v>
      </c>
      <c r="N2886" s="514">
        <v>0</v>
      </c>
      <c r="O2886" s="499"/>
      <c r="P2886" s="499"/>
      <c r="Q2886" s="499"/>
    </row>
    <row r="2887" spans="1:17" ht="14.4" x14ac:dyDescent="0.3">
      <c r="A2887" s="502" t="s">
        <v>4624</v>
      </c>
      <c r="B2887" s="503" t="s">
        <v>4625</v>
      </c>
      <c r="C2887" s="514">
        <v>0</v>
      </c>
      <c r="D2887" s="514">
        <v>0</v>
      </c>
      <c r="E2887" s="514">
        <v>0</v>
      </c>
      <c r="F2887" s="514">
        <v>0</v>
      </c>
      <c r="G2887" s="514">
        <v>0</v>
      </c>
      <c r="H2887" s="514">
        <v>0</v>
      </c>
      <c r="I2887" s="514">
        <v>0</v>
      </c>
      <c r="J2887" s="514">
        <v>0</v>
      </c>
      <c r="K2887" s="514">
        <v>0</v>
      </c>
      <c r="L2887" s="514">
        <v>0</v>
      </c>
      <c r="M2887" s="514">
        <v>0</v>
      </c>
      <c r="N2887" s="514">
        <v>0</v>
      </c>
      <c r="O2887" s="499"/>
      <c r="P2887" s="499"/>
      <c r="Q2887" s="499"/>
    </row>
    <row r="2888" spans="1:17" ht="14.4" x14ac:dyDescent="0.3">
      <c r="A2888" s="502" t="s">
        <v>4626</v>
      </c>
      <c r="B2888" s="503" t="s">
        <v>4627</v>
      </c>
      <c r="C2888" s="514">
        <v>0</v>
      </c>
      <c r="D2888" s="514">
        <v>0</v>
      </c>
      <c r="E2888" s="514">
        <v>0</v>
      </c>
      <c r="F2888" s="514">
        <v>0</v>
      </c>
      <c r="G2888" s="514">
        <v>0</v>
      </c>
      <c r="H2888" s="514">
        <v>0</v>
      </c>
      <c r="I2888" s="514">
        <v>0</v>
      </c>
      <c r="J2888" s="514">
        <v>0</v>
      </c>
      <c r="K2888" s="514">
        <v>0</v>
      </c>
      <c r="L2888" s="514">
        <v>0</v>
      </c>
      <c r="M2888" s="514">
        <v>0</v>
      </c>
      <c r="N2888" s="514">
        <v>0</v>
      </c>
      <c r="O2888" s="499"/>
      <c r="P2888" s="499"/>
      <c r="Q2888" s="499"/>
    </row>
    <row r="2889" spans="1:17" ht="14.4" x14ac:dyDescent="0.3">
      <c r="A2889" s="502" t="s">
        <v>4628</v>
      </c>
      <c r="B2889" s="503" t="s">
        <v>4629</v>
      </c>
      <c r="C2889" s="514">
        <v>0</v>
      </c>
      <c r="D2889" s="514">
        <v>0</v>
      </c>
      <c r="E2889" s="514">
        <v>0</v>
      </c>
      <c r="F2889" s="514">
        <v>0</v>
      </c>
      <c r="G2889" s="514">
        <v>0</v>
      </c>
      <c r="H2889" s="514">
        <v>0</v>
      </c>
      <c r="I2889" s="514">
        <v>0</v>
      </c>
      <c r="J2889" s="514">
        <v>0</v>
      </c>
      <c r="K2889" s="514">
        <v>0</v>
      </c>
      <c r="L2889" s="514">
        <v>0</v>
      </c>
      <c r="M2889" s="514">
        <v>0</v>
      </c>
      <c r="N2889" s="514">
        <v>0</v>
      </c>
      <c r="O2889" s="499"/>
      <c r="P2889" s="499"/>
      <c r="Q2889" s="499"/>
    </row>
    <row r="2890" spans="1:17" ht="14.4" x14ac:dyDescent="0.3">
      <c r="A2890" s="502" t="s">
        <v>4630</v>
      </c>
      <c r="B2890" s="503" t="s">
        <v>4631</v>
      </c>
      <c r="C2890" s="514">
        <v>0</v>
      </c>
      <c r="D2890" s="514">
        <v>0</v>
      </c>
      <c r="E2890" s="514">
        <v>0</v>
      </c>
      <c r="F2890" s="514">
        <v>0</v>
      </c>
      <c r="G2890" s="514">
        <v>0</v>
      </c>
      <c r="H2890" s="514">
        <v>0</v>
      </c>
      <c r="I2890" s="514">
        <v>0</v>
      </c>
      <c r="J2890" s="514">
        <v>0</v>
      </c>
      <c r="K2890" s="514">
        <v>0</v>
      </c>
      <c r="L2890" s="514">
        <v>0</v>
      </c>
      <c r="M2890" s="514">
        <v>0</v>
      </c>
      <c r="N2890" s="514">
        <v>0</v>
      </c>
      <c r="O2890" s="499"/>
      <c r="P2890" s="499"/>
      <c r="Q2890" s="499"/>
    </row>
    <row r="2891" spans="1:17" ht="14.4" x14ac:dyDescent="0.3">
      <c r="A2891" s="502" t="s">
        <v>4632</v>
      </c>
      <c r="B2891" s="503" t="s">
        <v>4633</v>
      </c>
      <c r="C2891" s="514">
        <v>0</v>
      </c>
      <c r="D2891" s="514">
        <v>0</v>
      </c>
      <c r="E2891" s="514">
        <v>0</v>
      </c>
      <c r="F2891" s="514">
        <v>0</v>
      </c>
      <c r="G2891" s="514">
        <v>0</v>
      </c>
      <c r="H2891" s="514">
        <v>0</v>
      </c>
      <c r="I2891" s="514">
        <v>0</v>
      </c>
      <c r="J2891" s="514">
        <v>0</v>
      </c>
      <c r="K2891" s="514">
        <v>0</v>
      </c>
      <c r="L2891" s="514">
        <v>0</v>
      </c>
      <c r="M2891" s="514">
        <v>0</v>
      </c>
      <c r="N2891" s="514">
        <v>0</v>
      </c>
      <c r="O2891" s="499"/>
      <c r="P2891" s="499"/>
      <c r="Q2891" s="499"/>
    </row>
    <row r="2892" spans="1:17" ht="14.4" x14ac:dyDescent="0.3">
      <c r="A2892" s="502" t="s">
        <v>4634</v>
      </c>
      <c r="B2892" s="503" t="s">
        <v>4635</v>
      </c>
      <c r="C2892" s="514">
        <v>0</v>
      </c>
      <c r="D2892" s="514">
        <v>0</v>
      </c>
      <c r="E2892" s="514">
        <v>0</v>
      </c>
      <c r="F2892" s="514">
        <v>0</v>
      </c>
      <c r="G2892" s="514">
        <v>0</v>
      </c>
      <c r="H2892" s="514">
        <v>0</v>
      </c>
      <c r="I2892" s="514">
        <v>0</v>
      </c>
      <c r="J2892" s="514">
        <v>0</v>
      </c>
      <c r="K2892" s="514">
        <v>0</v>
      </c>
      <c r="L2892" s="514">
        <v>0</v>
      </c>
      <c r="M2892" s="514">
        <v>0</v>
      </c>
      <c r="N2892" s="514">
        <v>0</v>
      </c>
      <c r="O2892" s="499"/>
      <c r="P2892" s="499"/>
      <c r="Q2892" s="499"/>
    </row>
    <row r="2893" spans="1:17" ht="14.4" x14ac:dyDescent="0.3">
      <c r="A2893" s="502" t="s">
        <v>4636</v>
      </c>
      <c r="B2893" s="503" t="s">
        <v>4637</v>
      </c>
      <c r="C2893" s="514">
        <v>0</v>
      </c>
      <c r="D2893" s="514">
        <v>0</v>
      </c>
      <c r="E2893" s="514">
        <v>0</v>
      </c>
      <c r="F2893" s="514">
        <v>0</v>
      </c>
      <c r="G2893" s="514">
        <v>0</v>
      </c>
      <c r="H2893" s="514">
        <v>0</v>
      </c>
      <c r="I2893" s="514">
        <v>0</v>
      </c>
      <c r="J2893" s="514">
        <v>0</v>
      </c>
      <c r="K2893" s="514">
        <v>0</v>
      </c>
      <c r="L2893" s="514">
        <v>0</v>
      </c>
      <c r="M2893" s="514">
        <v>0</v>
      </c>
      <c r="N2893" s="514">
        <v>0</v>
      </c>
      <c r="O2893" s="499"/>
      <c r="P2893" s="499"/>
      <c r="Q2893" s="499"/>
    </row>
    <row r="2894" spans="1:17" ht="14.4" x14ac:dyDescent="0.3">
      <c r="A2894" s="502" t="s">
        <v>4638</v>
      </c>
      <c r="B2894" s="503" t="s">
        <v>4639</v>
      </c>
      <c r="C2894" s="514">
        <v>0</v>
      </c>
      <c r="D2894" s="514">
        <v>0</v>
      </c>
      <c r="E2894" s="514">
        <v>0</v>
      </c>
      <c r="F2894" s="514">
        <v>0</v>
      </c>
      <c r="G2894" s="514">
        <v>0</v>
      </c>
      <c r="H2894" s="514">
        <v>0</v>
      </c>
      <c r="I2894" s="514">
        <v>0</v>
      </c>
      <c r="J2894" s="514">
        <v>0</v>
      </c>
      <c r="K2894" s="514">
        <v>0</v>
      </c>
      <c r="L2894" s="514">
        <v>0</v>
      </c>
      <c r="M2894" s="514">
        <v>0</v>
      </c>
      <c r="N2894" s="514">
        <v>0</v>
      </c>
      <c r="O2894" s="499"/>
      <c r="P2894" s="499"/>
      <c r="Q2894" s="499"/>
    </row>
    <row r="2895" spans="1:17" ht="14.4" x14ac:dyDescent="0.3">
      <c r="A2895" s="502" t="s">
        <v>4640</v>
      </c>
      <c r="B2895" s="503" t="s">
        <v>4641</v>
      </c>
      <c r="C2895" s="514">
        <v>0</v>
      </c>
      <c r="D2895" s="514">
        <v>0</v>
      </c>
      <c r="E2895" s="514">
        <v>0</v>
      </c>
      <c r="F2895" s="514">
        <v>0</v>
      </c>
      <c r="G2895" s="514">
        <v>0</v>
      </c>
      <c r="H2895" s="514">
        <v>0</v>
      </c>
      <c r="I2895" s="514">
        <v>0</v>
      </c>
      <c r="J2895" s="514">
        <v>0</v>
      </c>
      <c r="K2895" s="514">
        <v>0</v>
      </c>
      <c r="L2895" s="514">
        <v>0</v>
      </c>
      <c r="M2895" s="514">
        <v>0</v>
      </c>
      <c r="N2895" s="514">
        <v>0</v>
      </c>
      <c r="O2895" s="499"/>
      <c r="P2895" s="499"/>
      <c r="Q2895" s="499"/>
    </row>
    <row r="2896" spans="1:17" ht="14.4" x14ac:dyDescent="0.3">
      <c r="A2896" s="502" t="s">
        <v>4642</v>
      </c>
      <c r="B2896" s="503" t="s">
        <v>4643</v>
      </c>
      <c r="C2896" s="514">
        <v>0</v>
      </c>
      <c r="D2896" s="514">
        <v>0</v>
      </c>
      <c r="E2896" s="514">
        <v>0</v>
      </c>
      <c r="F2896" s="514">
        <v>0</v>
      </c>
      <c r="G2896" s="514">
        <v>0</v>
      </c>
      <c r="H2896" s="514">
        <v>0</v>
      </c>
      <c r="I2896" s="514">
        <v>0</v>
      </c>
      <c r="J2896" s="514">
        <v>0</v>
      </c>
      <c r="K2896" s="514">
        <v>0</v>
      </c>
      <c r="L2896" s="514">
        <v>0</v>
      </c>
      <c r="M2896" s="514">
        <v>0</v>
      </c>
      <c r="N2896" s="514">
        <v>0</v>
      </c>
      <c r="O2896" s="499"/>
      <c r="P2896" s="499"/>
      <c r="Q2896" s="499"/>
    </row>
    <row r="2897" spans="1:17" ht="14.4" x14ac:dyDescent="0.3">
      <c r="A2897" s="502" t="s">
        <v>4644</v>
      </c>
      <c r="B2897" s="503" t="s">
        <v>4645</v>
      </c>
      <c r="C2897" s="514">
        <v>0</v>
      </c>
      <c r="D2897" s="514">
        <v>0</v>
      </c>
      <c r="E2897" s="514">
        <v>0</v>
      </c>
      <c r="F2897" s="514">
        <v>0</v>
      </c>
      <c r="G2897" s="514">
        <v>0</v>
      </c>
      <c r="H2897" s="514">
        <v>0</v>
      </c>
      <c r="I2897" s="514">
        <v>0</v>
      </c>
      <c r="J2897" s="514">
        <v>0</v>
      </c>
      <c r="K2897" s="514">
        <v>0</v>
      </c>
      <c r="L2897" s="514">
        <v>0</v>
      </c>
      <c r="M2897" s="514">
        <v>0</v>
      </c>
      <c r="N2897" s="514">
        <v>0</v>
      </c>
      <c r="O2897" s="499"/>
      <c r="P2897" s="499"/>
      <c r="Q2897" s="499"/>
    </row>
    <row r="2898" spans="1:17" ht="14.4" x14ac:dyDescent="0.3">
      <c r="A2898" s="499"/>
      <c r="B2898" s="499"/>
      <c r="C2898" s="516"/>
      <c r="D2898" s="516"/>
      <c r="E2898" s="516"/>
      <c r="F2898" s="516"/>
      <c r="G2898" s="516"/>
      <c r="H2898" s="516"/>
      <c r="I2898" s="516"/>
      <c r="J2898" s="516"/>
      <c r="K2898" s="516"/>
      <c r="L2898" s="516"/>
      <c r="M2898" s="516"/>
      <c r="N2898" s="516"/>
      <c r="O2898" s="499"/>
      <c r="P2898" s="499"/>
      <c r="Q2898" s="499"/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9F11-7C08-484E-B2C1-3AAA0C838788}">
  <sheetPr>
    <tabColor rgb="FF92D050"/>
    <pageSetUpPr fitToPage="1"/>
  </sheetPr>
  <dimension ref="A1:AH71"/>
  <sheetViews>
    <sheetView view="pageBreakPreview" topLeftCell="A5" zoomScale="80" zoomScaleNormal="80" zoomScaleSheetLayoutView="80" workbookViewId="0">
      <selection activeCell="H15" sqref="H15"/>
    </sheetView>
  </sheetViews>
  <sheetFormatPr defaultRowHeight="14.4" x14ac:dyDescent="0.3"/>
  <cols>
    <col min="1" max="1" width="18.33203125" style="415" customWidth="1"/>
    <col min="2" max="2" width="52.6640625" style="415" customWidth="1"/>
    <col min="3" max="3" width="15.109375" style="415" customWidth="1"/>
    <col min="4" max="4" width="31.6640625" style="415" bestFit="1" customWidth="1"/>
    <col min="5" max="5" width="11.6640625" style="415" customWidth="1"/>
    <col min="6" max="6" width="19.6640625" style="415" bestFit="1" customWidth="1"/>
    <col min="7" max="7" width="18.33203125" style="415" bestFit="1" customWidth="1"/>
    <col min="8" max="8" width="13.33203125" style="415" customWidth="1"/>
    <col min="9" max="9" width="13.33203125" style="415" bestFit="1" customWidth="1"/>
    <col min="10" max="10" width="13.44140625" style="415" bestFit="1" customWidth="1"/>
    <col min="11" max="11" width="13.33203125" style="415" bestFit="1" customWidth="1"/>
    <col min="12" max="12" width="14.44140625" style="415" bestFit="1" customWidth="1"/>
    <col min="13" max="13" width="15.44140625" style="415" bestFit="1" customWidth="1"/>
    <col min="14" max="14" width="21.88671875" style="415" customWidth="1"/>
    <col min="15" max="15" width="14" style="415" customWidth="1"/>
    <col min="16" max="16" width="15.44140625" style="415" bestFit="1" customWidth="1"/>
    <col min="17" max="17" width="10.6640625" style="415" customWidth="1"/>
    <col min="18" max="18" width="16.6640625" style="415" customWidth="1"/>
    <col min="19" max="19" width="14.88671875" style="415" customWidth="1"/>
    <col min="20" max="20" width="10.109375" style="415" bestFit="1" customWidth="1"/>
    <col min="21" max="21" width="32.5546875" style="415" bestFit="1" customWidth="1"/>
    <col min="22" max="23" width="10.6640625" style="415" customWidth="1"/>
    <col min="24" max="24" width="10.88671875" style="415" customWidth="1"/>
    <col min="25" max="29" width="12.44140625" style="415" bestFit="1" customWidth="1"/>
    <col min="30" max="31" width="15.33203125" style="415" bestFit="1" customWidth="1"/>
    <col min="32" max="32" width="12.44140625" style="415" customWidth="1"/>
    <col min="33" max="33" width="15.109375" style="415" customWidth="1"/>
    <col min="34" max="34" width="8.88671875" style="56"/>
    <col min="35" max="35" width="9.88671875" style="415" customWidth="1"/>
    <col min="36" max="36" width="11.6640625" style="415" customWidth="1"/>
    <col min="37" max="261" width="8.88671875" style="415"/>
    <col min="262" max="262" width="52.5546875" style="415" bestFit="1" customWidth="1"/>
    <col min="263" max="517" width="8.88671875" style="415"/>
    <col min="518" max="518" width="52.5546875" style="415" bestFit="1" customWidth="1"/>
    <col min="519" max="773" width="8.88671875" style="415"/>
    <col min="774" max="774" width="52.5546875" style="415" bestFit="1" customWidth="1"/>
    <col min="775" max="1029" width="8.88671875" style="415"/>
    <col min="1030" max="1030" width="52.5546875" style="415" bestFit="1" customWidth="1"/>
    <col min="1031" max="1285" width="8.88671875" style="415"/>
    <col min="1286" max="1286" width="52.5546875" style="415" bestFit="1" customWidth="1"/>
    <col min="1287" max="1541" width="8.88671875" style="415"/>
    <col min="1542" max="1542" width="52.5546875" style="415" bestFit="1" customWidth="1"/>
    <col min="1543" max="1797" width="8.88671875" style="415"/>
    <col min="1798" max="1798" width="52.5546875" style="415" bestFit="1" customWidth="1"/>
    <col min="1799" max="2053" width="8.88671875" style="415"/>
    <col min="2054" max="2054" width="52.5546875" style="415" bestFit="1" customWidth="1"/>
    <col min="2055" max="2309" width="8.88671875" style="415"/>
    <col min="2310" max="2310" width="52.5546875" style="415" bestFit="1" customWidth="1"/>
    <col min="2311" max="2565" width="8.88671875" style="415"/>
    <col min="2566" max="2566" width="52.5546875" style="415" bestFit="1" customWidth="1"/>
    <col min="2567" max="2821" width="8.88671875" style="415"/>
    <col min="2822" max="2822" width="52.5546875" style="415" bestFit="1" customWidth="1"/>
    <col min="2823" max="3077" width="8.88671875" style="415"/>
    <col min="3078" max="3078" width="52.5546875" style="415" bestFit="1" customWidth="1"/>
    <col min="3079" max="3333" width="8.88671875" style="415"/>
    <col min="3334" max="3334" width="52.5546875" style="415" bestFit="1" customWidth="1"/>
    <col min="3335" max="3589" width="8.88671875" style="415"/>
    <col min="3590" max="3590" width="52.5546875" style="415" bestFit="1" customWidth="1"/>
    <col min="3591" max="3845" width="8.88671875" style="415"/>
    <col min="3846" max="3846" width="52.5546875" style="415" bestFit="1" customWidth="1"/>
    <col min="3847" max="4101" width="8.88671875" style="415"/>
    <col min="4102" max="4102" width="52.5546875" style="415" bestFit="1" customWidth="1"/>
    <col min="4103" max="4357" width="8.88671875" style="415"/>
    <col min="4358" max="4358" width="52.5546875" style="415" bestFit="1" customWidth="1"/>
    <col min="4359" max="4613" width="8.88671875" style="415"/>
    <col min="4614" max="4614" width="52.5546875" style="415" bestFit="1" customWidth="1"/>
    <col min="4615" max="4869" width="8.88671875" style="415"/>
    <col min="4870" max="4870" width="52.5546875" style="415" bestFit="1" customWidth="1"/>
    <col min="4871" max="5125" width="8.88671875" style="415"/>
    <col min="5126" max="5126" width="52.5546875" style="415" bestFit="1" customWidth="1"/>
    <col min="5127" max="5381" width="8.88671875" style="415"/>
    <col min="5382" max="5382" width="52.5546875" style="415" bestFit="1" customWidth="1"/>
    <col min="5383" max="5637" width="8.88671875" style="415"/>
    <col min="5638" max="5638" width="52.5546875" style="415" bestFit="1" customWidth="1"/>
    <col min="5639" max="5893" width="8.88671875" style="415"/>
    <col min="5894" max="5894" width="52.5546875" style="415" bestFit="1" customWidth="1"/>
    <col min="5895" max="6149" width="8.88671875" style="415"/>
    <col min="6150" max="6150" width="52.5546875" style="415" bestFit="1" customWidth="1"/>
    <col min="6151" max="6405" width="8.88671875" style="415"/>
    <col min="6406" max="6406" width="52.5546875" style="415" bestFit="1" customWidth="1"/>
    <col min="6407" max="6661" width="8.88671875" style="415"/>
    <col min="6662" max="6662" width="52.5546875" style="415" bestFit="1" customWidth="1"/>
    <col min="6663" max="6917" width="8.88671875" style="415"/>
    <col min="6918" max="6918" width="52.5546875" style="415" bestFit="1" customWidth="1"/>
    <col min="6919" max="7173" width="8.88671875" style="415"/>
    <col min="7174" max="7174" width="52.5546875" style="415" bestFit="1" customWidth="1"/>
    <col min="7175" max="7429" width="8.88671875" style="415"/>
    <col min="7430" max="7430" width="52.5546875" style="415" bestFit="1" customWidth="1"/>
    <col min="7431" max="7685" width="8.88671875" style="415"/>
    <col min="7686" max="7686" width="52.5546875" style="415" bestFit="1" customWidth="1"/>
    <col min="7687" max="7941" width="8.88671875" style="415"/>
    <col min="7942" max="7942" width="52.5546875" style="415" bestFit="1" customWidth="1"/>
    <col min="7943" max="8197" width="8.88671875" style="415"/>
    <col min="8198" max="8198" width="52.5546875" style="415" bestFit="1" customWidth="1"/>
    <col min="8199" max="8453" width="8.88671875" style="415"/>
    <col min="8454" max="8454" width="52.5546875" style="415" bestFit="1" customWidth="1"/>
    <col min="8455" max="8709" width="8.88671875" style="415"/>
    <col min="8710" max="8710" width="52.5546875" style="415" bestFit="1" customWidth="1"/>
    <col min="8711" max="8965" width="8.88671875" style="415"/>
    <col min="8966" max="8966" width="52.5546875" style="415" bestFit="1" customWidth="1"/>
    <col min="8967" max="9221" width="8.88671875" style="415"/>
    <col min="9222" max="9222" width="52.5546875" style="415" bestFit="1" customWidth="1"/>
    <col min="9223" max="9477" width="8.88671875" style="415"/>
    <col min="9478" max="9478" width="52.5546875" style="415" bestFit="1" customWidth="1"/>
    <col min="9479" max="9733" width="8.88671875" style="415"/>
    <col min="9734" max="9734" width="52.5546875" style="415" bestFit="1" customWidth="1"/>
    <col min="9735" max="9989" width="8.88671875" style="415"/>
    <col min="9990" max="9990" width="52.5546875" style="415" bestFit="1" customWidth="1"/>
    <col min="9991" max="10245" width="8.88671875" style="415"/>
    <col min="10246" max="10246" width="52.5546875" style="415" bestFit="1" customWidth="1"/>
    <col min="10247" max="10501" width="8.88671875" style="415"/>
    <col min="10502" max="10502" width="52.5546875" style="415" bestFit="1" customWidth="1"/>
    <col min="10503" max="10757" width="8.88671875" style="415"/>
    <col min="10758" max="10758" width="52.5546875" style="415" bestFit="1" customWidth="1"/>
    <col min="10759" max="11013" width="8.88671875" style="415"/>
    <col min="11014" max="11014" width="52.5546875" style="415" bestFit="1" customWidth="1"/>
    <col min="11015" max="11269" width="8.88671875" style="415"/>
    <col min="11270" max="11270" width="52.5546875" style="415" bestFit="1" customWidth="1"/>
    <col min="11271" max="11525" width="8.88671875" style="415"/>
    <col min="11526" max="11526" width="52.5546875" style="415" bestFit="1" customWidth="1"/>
    <col min="11527" max="11781" width="8.88671875" style="415"/>
    <col min="11782" max="11782" width="52.5546875" style="415" bestFit="1" customWidth="1"/>
    <col min="11783" max="12037" width="8.88671875" style="415"/>
    <col min="12038" max="12038" width="52.5546875" style="415" bestFit="1" customWidth="1"/>
    <col min="12039" max="12293" width="8.88671875" style="415"/>
    <col min="12294" max="12294" width="52.5546875" style="415" bestFit="1" customWidth="1"/>
    <col min="12295" max="12549" width="8.88671875" style="415"/>
    <col min="12550" max="12550" width="52.5546875" style="415" bestFit="1" customWidth="1"/>
    <col min="12551" max="12805" width="8.88671875" style="415"/>
    <col min="12806" max="12806" width="52.5546875" style="415" bestFit="1" customWidth="1"/>
    <col min="12807" max="13061" width="8.88671875" style="415"/>
    <col min="13062" max="13062" width="52.5546875" style="415" bestFit="1" customWidth="1"/>
    <col min="13063" max="13317" width="8.88671875" style="415"/>
    <col min="13318" max="13318" width="52.5546875" style="415" bestFit="1" customWidth="1"/>
    <col min="13319" max="13573" width="8.88671875" style="415"/>
    <col min="13574" max="13574" width="52.5546875" style="415" bestFit="1" customWidth="1"/>
    <col min="13575" max="13829" width="8.88671875" style="415"/>
    <col min="13830" max="13830" width="52.5546875" style="415" bestFit="1" customWidth="1"/>
    <col min="13831" max="14085" width="8.88671875" style="415"/>
    <col min="14086" max="14086" width="52.5546875" style="415" bestFit="1" customWidth="1"/>
    <col min="14087" max="14341" width="8.88671875" style="415"/>
    <col min="14342" max="14342" width="52.5546875" style="415" bestFit="1" customWidth="1"/>
    <col min="14343" max="14597" width="8.88671875" style="415"/>
    <col min="14598" max="14598" width="52.5546875" style="415" bestFit="1" customWidth="1"/>
    <col min="14599" max="14853" width="8.88671875" style="415"/>
    <col min="14854" max="14854" width="52.5546875" style="415" bestFit="1" customWidth="1"/>
    <col min="14855" max="15109" width="8.88671875" style="415"/>
    <col min="15110" max="15110" width="52.5546875" style="415" bestFit="1" customWidth="1"/>
    <col min="15111" max="15365" width="8.88671875" style="415"/>
    <col min="15366" max="15366" width="52.5546875" style="415" bestFit="1" customWidth="1"/>
    <col min="15367" max="15621" width="8.88671875" style="415"/>
    <col min="15622" max="15622" width="52.5546875" style="415" bestFit="1" customWidth="1"/>
    <col min="15623" max="15877" width="8.88671875" style="415"/>
    <col min="15878" max="15878" width="52.5546875" style="415" bestFit="1" customWidth="1"/>
    <col min="15879" max="16133" width="8.88671875" style="415"/>
    <col min="16134" max="16134" width="52.5546875" style="415" bestFit="1" customWidth="1"/>
    <col min="16135" max="16384" width="8.88671875" style="415"/>
  </cols>
  <sheetData>
    <row r="1" spans="1:34" ht="17.399999999999999" x14ac:dyDescent="0.3">
      <c r="A1" s="414" t="s">
        <v>4646</v>
      </c>
      <c r="B1" s="414" t="s">
        <v>4647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</row>
    <row r="2" spans="1:34" s="417" customFormat="1" ht="17.399999999999999" x14ac:dyDescent="0.3">
      <c r="A2" s="414" t="s">
        <v>4648</v>
      </c>
      <c r="B2" s="416"/>
      <c r="C2" s="416"/>
      <c r="D2" s="416"/>
      <c r="AH2" s="49"/>
    </row>
    <row r="3" spans="1:34" s="417" customFormat="1" ht="15.6" x14ac:dyDescent="0.3">
      <c r="A3" s="418" t="s">
        <v>65</v>
      </c>
      <c r="B3" s="419" t="s">
        <v>66</v>
      </c>
      <c r="C3" s="416"/>
      <c r="D3" s="416"/>
      <c r="AH3" s="49"/>
    </row>
    <row r="4" spans="1:34" s="417" customFormat="1" ht="15.6" x14ac:dyDescent="0.3">
      <c r="A4" s="418" t="s">
        <v>67</v>
      </c>
      <c r="B4" s="418" t="s">
        <v>68</v>
      </c>
      <c r="C4" s="416"/>
      <c r="D4" s="416"/>
      <c r="AH4" s="49"/>
    </row>
    <row r="5" spans="1:34" s="417" customFormat="1" ht="48.75" customHeight="1" x14ac:dyDescent="0.3">
      <c r="A5" s="418" t="s">
        <v>69</v>
      </c>
      <c r="B5" s="420"/>
      <c r="C5" s="416"/>
      <c r="D5" s="416"/>
      <c r="E5" s="416"/>
      <c r="F5" s="416"/>
      <c r="G5" s="416"/>
      <c r="H5" s="416"/>
      <c r="I5" s="421"/>
      <c r="AH5" s="49"/>
    </row>
    <row r="6" spans="1:34" ht="18" customHeight="1" x14ac:dyDescent="0.3">
      <c r="A6" s="416" t="s">
        <v>70</v>
      </c>
      <c r="B6" s="422" t="s">
        <v>74</v>
      </c>
      <c r="C6" s="416"/>
      <c r="D6" s="423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</row>
    <row r="7" spans="1:34" ht="18" customHeight="1" x14ac:dyDescent="0.3">
      <c r="A7" s="416" t="s">
        <v>73</v>
      </c>
      <c r="B7" s="424" t="s">
        <v>4649</v>
      </c>
      <c r="C7" s="416"/>
      <c r="D7" s="425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7"/>
      <c r="X7" s="517"/>
      <c r="Y7" s="517"/>
      <c r="Z7" s="517"/>
      <c r="AA7" s="517"/>
      <c r="AB7" s="517"/>
      <c r="AC7" s="517"/>
      <c r="AD7" s="517"/>
      <c r="AE7" s="517"/>
      <c r="AF7" s="517"/>
      <c r="AG7" s="517"/>
    </row>
    <row r="8" spans="1:34" s="416" customFormat="1" ht="16.5" customHeight="1" thickBot="1" x14ac:dyDescent="0.35">
      <c r="A8" s="517"/>
      <c r="B8" s="517"/>
      <c r="C8" s="517"/>
      <c r="D8" s="517"/>
    </row>
    <row r="9" spans="1:34" ht="28.5" customHeight="1" thickBot="1" x14ac:dyDescent="0.35">
      <c r="A9" s="517"/>
      <c r="B9" s="426" t="s">
        <v>76</v>
      </c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42" t="s">
        <v>77</v>
      </c>
      <c r="O9" s="543"/>
      <c r="P9" s="427"/>
      <c r="Q9" s="427"/>
      <c r="R9" s="42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</row>
    <row r="10" spans="1:34" ht="70.5" customHeight="1" thickBot="1" x14ac:dyDescent="0.35">
      <c r="A10" s="478" t="s">
        <v>78</v>
      </c>
      <c r="B10" s="479"/>
      <c r="C10" s="479"/>
      <c r="D10" s="479"/>
      <c r="E10" s="479"/>
      <c r="F10" s="480"/>
      <c r="G10" s="481" t="s">
        <v>79</v>
      </c>
      <c r="H10" s="482"/>
      <c r="I10" s="482"/>
      <c r="J10" s="482"/>
      <c r="K10" s="482"/>
      <c r="L10" s="482"/>
      <c r="M10" s="483"/>
      <c r="N10" s="428" t="s">
        <v>80</v>
      </c>
      <c r="O10" s="429" t="s">
        <v>81</v>
      </c>
      <c r="P10" s="429" t="s">
        <v>82</v>
      </c>
      <c r="Q10" s="429" t="s">
        <v>83</v>
      </c>
      <c r="R10" s="429" t="s">
        <v>84</v>
      </c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</row>
    <row r="11" spans="1:34" ht="54.75" customHeight="1" x14ac:dyDescent="0.3">
      <c r="A11" s="518" t="s">
        <v>85</v>
      </c>
      <c r="B11" s="518" t="s">
        <v>86</v>
      </c>
      <c r="C11" s="518"/>
      <c r="D11" s="518" t="s">
        <v>87</v>
      </c>
      <c r="E11" s="519" t="s">
        <v>88</v>
      </c>
      <c r="F11" s="520" t="s">
        <v>89</v>
      </c>
      <c r="G11" s="521">
        <v>2023</v>
      </c>
      <c r="H11" s="521">
        <v>2024</v>
      </c>
      <c r="I11" s="521">
        <v>2025</v>
      </c>
      <c r="J11" s="521">
        <v>2026</v>
      </c>
      <c r="K11" s="521">
        <v>2027</v>
      </c>
      <c r="L11" s="522" t="s">
        <v>90</v>
      </c>
      <c r="M11" s="521" t="s">
        <v>15</v>
      </c>
      <c r="N11" s="521"/>
      <c r="O11" s="521"/>
      <c r="P11" s="63"/>
      <c r="Q11" s="521"/>
      <c r="R11" s="521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  <c r="AC11" s="517"/>
      <c r="AD11" s="517"/>
      <c r="AE11" s="517"/>
      <c r="AF11" s="517"/>
      <c r="AG11" s="517"/>
    </row>
    <row r="12" spans="1:34" x14ac:dyDescent="0.3">
      <c r="A12" s="523" t="s">
        <v>91</v>
      </c>
      <c r="B12" s="523" t="s">
        <v>92</v>
      </c>
      <c r="C12" s="524"/>
      <c r="D12" s="525" t="s">
        <v>93</v>
      </c>
      <c r="E12" s="526">
        <v>2</v>
      </c>
      <c r="F12" s="64">
        <v>3.8199999999999998E-2</v>
      </c>
      <c r="G12" s="527">
        <v>501855.75</v>
      </c>
      <c r="H12" s="527">
        <v>2007423</v>
      </c>
      <c r="I12" s="527">
        <v>1505567.25</v>
      </c>
      <c r="J12" s="527">
        <v>0</v>
      </c>
      <c r="K12" s="527">
        <v>0</v>
      </c>
      <c r="L12" s="527">
        <v>0</v>
      </c>
      <c r="M12" s="430">
        <v>4014846</v>
      </c>
      <c r="N12" s="526">
        <v>0</v>
      </c>
      <c r="O12" s="526">
        <v>0</v>
      </c>
      <c r="P12" s="65">
        <v>7.4194693917598725E-2</v>
      </c>
      <c r="Q12" s="553">
        <v>0.14838938783519745</v>
      </c>
      <c r="R12" s="65">
        <v>2.8342373076522711E-3</v>
      </c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17"/>
      <c r="AD12" s="517"/>
      <c r="AE12" s="517"/>
      <c r="AF12" s="517"/>
      <c r="AG12" s="517"/>
    </row>
    <row r="13" spans="1:34" x14ac:dyDescent="0.3">
      <c r="A13" s="523" t="s">
        <v>91</v>
      </c>
      <c r="B13" s="529" t="s">
        <v>94</v>
      </c>
      <c r="C13" s="524"/>
      <c r="D13" s="524" t="s">
        <v>95</v>
      </c>
      <c r="E13" s="526">
        <v>12.25</v>
      </c>
      <c r="F13" s="64">
        <v>4.3099999999999999E-2</v>
      </c>
      <c r="G13" s="527">
        <v>9606.18</v>
      </c>
      <c r="H13" s="527">
        <v>39961.80000000001</v>
      </c>
      <c r="I13" s="527">
        <v>41560.19999999999</v>
      </c>
      <c r="J13" s="527">
        <v>43222.68</v>
      </c>
      <c r="K13" s="527">
        <v>44951.519999999997</v>
      </c>
      <c r="L13" s="527">
        <v>430761.60000000015</v>
      </c>
      <c r="M13" s="430">
        <v>610063.9800000001</v>
      </c>
      <c r="N13" s="526">
        <v>0</v>
      </c>
      <c r="O13" s="526">
        <v>0</v>
      </c>
      <c r="P13" s="65">
        <v>1.127403398941132E-2</v>
      </c>
      <c r="Q13" s="553">
        <v>0.13810691637028866</v>
      </c>
      <c r="R13" s="65">
        <v>4.8591086494362788E-4</v>
      </c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7"/>
      <c r="AE13" s="517"/>
      <c r="AF13" s="517"/>
      <c r="AG13" s="517"/>
    </row>
    <row r="14" spans="1:34" x14ac:dyDescent="0.3">
      <c r="A14" s="523" t="s">
        <v>91</v>
      </c>
      <c r="B14" s="523" t="s">
        <v>48</v>
      </c>
      <c r="C14" s="530"/>
      <c r="D14" s="530" t="s">
        <v>96</v>
      </c>
      <c r="E14" s="526">
        <v>62.5</v>
      </c>
      <c r="F14" s="64">
        <v>4.4600000000000001E-2</v>
      </c>
      <c r="G14" s="527">
        <v>45421.923749999994</v>
      </c>
      <c r="H14" s="527">
        <v>181687.69499999995</v>
      </c>
      <c r="I14" s="527">
        <v>181687.69499999995</v>
      </c>
      <c r="J14" s="527">
        <v>181687.69499999995</v>
      </c>
      <c r="K14" s="527">
        <v>202127.56068749999</v>
      </c>
      <c r="L14" s="527">
        <v>29349596.285789423</v>
      </c>
      <c r="M14" s="430">
        <v>30142208.855226923</v>
      </c>
      <c r="N14" s="526">
        <v>0</v>
      </c>
      <c r="O14" s="526">
        <v>0</v>
      </c>
      <c r="P14" s="65">
        <v>0.55703057103906239</v>
      </c>
      <c r="Q14" s="553">
        <v>34.814410689941397</v>
      </c>
      <c r="R14" s="65">
        <v>2.4843563468342184E-2</v>
      </c>
      <c r="S14" s="517"/>
      <c r="T14" s="517"/>
      <c r="U14" s="517"/>
      <c r="V14" s="517"/>
      <c r="W14" s="517"/>
      <c r="X14" s="517"/>
      <c r="Y14" s="517"/>
      <c r="Z14" s="517"/>
      <c r="AA14" s="517"/>
      <c r="AB14" s="517"/>
      <c r="AC14" s="517"/>
      <c r="AD14" s="517"/>
      <c r="AE14" s="517"/>
      <c r="AF14" s="517"/>
      <c r="AG14" s="517"/>
    </row>
    <row r="15" spans="1:34" x14ac:dyDescent="0.3">
      <c r="A15" s="523" t="s">
        <v>91</v>
      </c>
      <c r="B15" s="529" t="s">
        <v>48</v>
      </c>
      <c r="C15" s="530"/>
      <c r="D15" s="530" t="s">
        <v>97</v>
      </c>
      <c r="E15" s="526">
        <v>26.416666666666668</v>
      </c>
      <c r="F15" s="64">
        <v>4.4600000000000001E-2</v>
      </c>
      <c r="G15" s="527">
        <v>143949.99256035403</v>
      </c>
      <c r="H15" s="527">
        <v>580982.1699735889</v>
      </c>
      <c r="I15" s="527">
        <v>591439.84903311345</v>
      </c>
      <c r="J15" s="527">
        <v>602085.76631570957</v>
      </c>
      <c r="K15" s="527">
        <v>612923.31010939227</v>
      </c>
      <c r="L15" s="527">
        <v>16813806.334947076</v>
      </c>
      <c r="M15" s="430">
        <v>19345187.422939233</v>
      </c>
      <c r="N15" s="526">
        <v>0</v>
      </c>
      <c r="O15" s="526">
        <v>0</v>
      </c>
      <c r="P15" s="65">
        <v>0.35750070105392756</v>
      </c>
      <c r="Q15" s="553">
        <v>9.4439768528412529</v>
      </c>
      <c r="R15" s="65">
        <v>1.5944531267005169E-2</v>
      </c>
      <c r="S15" s="517"/>
      <c r="T15" s="517"/>
      <c r="U15" s="517"/>
      <c r="V15" s="517"/>
      <c r="W15" s="517"/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</row>
    <row r="16" spans="1:34" ht="14.4" customHeight="1" x14ac:dyDescent="0.3">
      <c r="A16" s="532"/>
      <c r="B16" s="532"/>
      <c r="C16" s="533"/>
      <c r="D16" s="533"/>
      <c r="E16" s="532"/>
      <c r="F16" s="532"/>
      <c r="G16" s="430"/>
      <c r="H16" s="430"/>
      <c r="I16" s="430"/>
      <c r="J16" s="430"/>
      <c r="K16" s="430"/>
      <c r="L16" s="430"/>
      <c r="M16" s="430"/>
      <c r="N16" s="532"/>
      <c r="O16" s="532"/>
      <c r="P16" s="67"/>
      <c r="Q16" s="532"/>
      <c r="R16" s="65"/>
      <c r="S16" s="517"/>
      <c r="T16" s="517"/>
      <c r="U16" s="517"/>
      <c r="V16" s="517"/>
      <c r="W16" s="517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</row>
    <row r="17" spans="1:34" s="434" customFormat="1" ht="30.75" customHeight="1" x14ac:dyDescent="0.3">
      <c r="A17" s="431"/>
      <c r="B17" s="431"/>
      <c r="C17" s="431" t="s">
        <v>99</v>
      </c>
      <c r="D17" s="431"/>
      <c r="E17" s="431"/>
      <c r="F17" s="431"/>
      <c r="G17" s="432">
        <v>700833.84631035407</v>
      </c>
      <c r="H17" s="432">
        <v>2810054.6649735891</v>
      </c>
      <c r="I17" s="432">
        <v>2320254.9940331136</v>
      </c>
      <c r="J17" s="432">
        <v>826996.14131570957</v>
      </c>
      <c r="K17" s="432">
        <v>860002.39079689223</v>
      </c>
      <c r="L17" s="432">
        <v>46594164.220736504</v>
      </c>
      <c r="M17" s="432">
        <v>54112306.258166157</v>
      </c>
      <c r="N17" s="431"/>
      <c r="O17" s="431"/>
      <c r="P17" s="71">
        <v>1</v>
      </c>
      <c r="Q17" s="433">
        <v>44.544883846988135</v>
      </c>
      <c r="R17" s="71">
        <v>4.4108242907943254E-2</v>
      </c>
      <c r="U17" s="73"/>
      <c r="AH17" s="74"/>
    </row>
    <row r="18" spans="1:34" x14ac:dyDescent="0.3">
      <c r="A18" s="517"/>
      <c r="B18" s="517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6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</row>
    <row r="19" spans="1:34" x14ac:dyDescent="0.3">
      <c r="A19" s="517"/>
      <c r="B19" s="535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36"/>
      <c r="O19" s="536"/>
      <c r="P19" s="536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517"/>
    </row>
    <row r="20" spans="1:34" x14ac:dyDescent="0.3">
      <c r="A20" s="517"/>
      <c r="B20" s="435" t="s">
        <v>100</v>
      </c>
      <c r="C20" s="484"/>
      <c r="D20" s="484"/>
      <c r="E20" s="484" t="s">
        <v>66</v>
      </c>
      <c r="F20" s="484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517"/>
    </row>
    <row r="21" spans="1:34" ht="15" thickBot="1" x14ac:dyDescent="0.35">
      <c r="A21" s="517"/>
      <c r="B21" s="436" t="s">
        <v>101</v>
      </c>
      <c r="C21" s="437"/>
      <c r="D21" s="438" t="s">
        <v>102</v>
      </c>
      <c r="E21" s="437"/>
      <c r="F21" s="439">
        <v>2023</v>
      </c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517"/>
    </row>
    <row r="22" spans="1:34" x14ac:dyDescent="0.3">
      <c r="A22" s="517"/>
      <c r="B22" s="440" t="s">
        <v>103</v>
      </c>
      <c r="C22" s="441"/>
      <c r="D22" s="442" t="s">
        <v>104</v>
      </c>
      <c r="E22" s="441" t="s">
        <v>105</v>
      </c>
      <c r="F22" s="82">
        <v>21188366.670000002</v>
      </c>
      <c r="G22" s="571" t="s">
        <v>106</v>
      </c>
      <c r="H22" s="517"/>
      <c r="I22" s="517"/>
      <c r="J22" s="517"/>
      <c r="K22" s="517"/>
      <c r="L22" s="517"/>
      <c r="M22" s="517"/>
      <c r="N22" s="517"/>
      <c r="O22" s="517"/>
      <c r="P22" s="517"/>
      <c r="Q22" s="517"/>
      <c r="R22" s="517"/>
      <c r="S22" s="517"/>
      <c r="T22" s="517"/>
      <c r="U22" s="517"/>
      <c r="V22" s="517"/>
      <c r="W22" s="517"/>
      <c r="X22" s="517"/>
      <c r="Y22" s="517"/>
      <c r="Z22" s="517"/>
      <c r="AA22" s="517"/>
      <c r="AB22" s="517"/>
      <c r="AC22" s="517"/>
      <c r="AD22" s="517"/>
      <c r="AE22" s="517"/>
      <c r="AF22" s="517"/>
      <c r="AG22" s="517"/>
    </row>
    <row r="23" spans="1:34" x14ac:dyDescent="0.3">
      <c r="A23" s="517"/>
      <c r="B23" s="443" t="s">
        <v>107</v>
      </c>
      <c r="C23" s="444"/>
      <c r="D23" s="445"/>
      <c r="E23" s="444"/>
      <c r="F23" s="86"/>
      <c r="G23" s="517"/>
      <c r="H23" s="517"/>
      <c r="I23" s="517"/>
      <c r="J23" s="517"/>
      <c r="K23" s="517"/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/>
      <c r="AA23" s="517"/>
      <c r="AB23" s="517"/>
      <c r="AC23" s="517"/>
      <c r="AD23" s="517"/>
      <c r="AE23" s="517"/>
      <c r="AF23" s="517"/>
      <c r="AG23" s="517"/>
    </row>
    <row r="24" spans="1:34" x14ac:dyDescent="0.3">
      <c r="A24" s="517"/>
      <c r="B24" s="443" t="s">
        <v>108</v>
      </c>
      <c r="C24" s="444"/>
      <c r="D24" s="445" t="s">
        <v>109</v>
      </c>
      <c r="E24" s="517"/>
      <c r="F24" s="87">
        <v>1877152.63</v>
      </c>
      <c r="G24" s="571" t="s">
        <v>106</v>
      </c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7"/>
      <c r="AE24" s="517"/>
      <c r="AF24" s="517"/>
      <c r="AG24" s="517"/>
    </row>
    <row r="25" spans="1:34" x14ac:dyDescent="0.3">
      <c r="A25" s="517"/>
      <c r="B25" s="446" t="s">
        <v>110</v>
      </c>
      <c r="C25" s="447"/>
      <c r="D25" s="448" t="s">
        <v>111</v>
      </c>
      <c r="E25" s="447"/>
      <c r="F25" s="91">
        <v>20272022.949999999</v>
      </c>
      <c r="G25" s="571" t="s">
        <v>106</v>
      </c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7"/>
      <c r="AG25" s="517"/>
    </row>
    <row r="26" spans="1:34" ht="15" thickBot="1" x14ac:dyDescent="0.35">
      <c r="A26" s="517"/>
      <c r="B26" s="449" t="s">
        <v>112</v>
      </c>
      <c r="C26" s="450"/>
      <c r="D26" s="450"/>
      <c r="E26" s="451" t="s">
        <v>105</v>
      </c>
      <c r="F26" s="95">
        <v>22149175.579999998</v>
      </c>
      <c r="G26" s="517"/>
      <c r="H26" s="517"/>
      <c r="I26" s="517"/>
      <c r="J26" s="517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17"/>
      <c r="AD26" s="517"/>
      <c r="AE26" s="517"/>
      <c r="AF26" s="517"/>
      <c r="AG26" s="517"/>
    </row>
    <row r="27" spans="1:34" x14ac:dyDescent="0.3">
      <c r="A27" s="517"/>
      <c r="B27" s="535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3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</row>
    <row r="28" spans="1:34" ht="14.4" customHeight="1" x14ac:dyDescent="0.3">
      <c r="A28" s="517"/>
      <c r="B28" s="440" t="s">
        <v>4650</v>
      </c>
      <c r="C28" s="440"/>
      <c r="D28" s="440"/>
      <c r="E28" s="440"/>
      <c r="F28" s="440"/>
      <c r="G28" s="440"/>
      <c r="H28" s="440"/>
      <c r="I28" s="440"/>
      <c r="J28" s="440"/>
      <c r="K28" s="440"/>
      <c r="L28" s="440"/>
      <c r="M28" s="440"/>
      <c r="N28" s="517"/>
      <c r="O28" s="517"/>
      <c r="P28" s="517"/>
      <c r="Q28" s="517"/>
      <c r="R28" s="517"/>
      <c r="S28" s="517"/>
      <c r="T28" s="517"/>
      <c r="U28" s="53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</row>
    <row r="29" spans="1:34" x14ac:dyDescent="0.3">
      <c r="A29" s="517"/>
      <c r="B29" s="435"/>
      <c r="C29" s="452"/>
      <c r="D29" s="435"/>
      <c r="E29" s="452"/>
      <c r="F29" s="435"/>
      <c r="G29" s="452"/>
      <c r="H29" s="435"/>
      <c r="I29" s="452"/>
      <c r="J29" s="435"/>
      <c r="K29" s="452"/>
      <c r="L29" s="435"/>
      <c r="M29" s="435"/>
      <c r="N29" s="517"/>
      <c r="O29" s="517"/>
      <c r="P29" s="517"/>
      <c r="Q29" s="517"/>
      <c r="R29" s="517"/>
      <c r="S29" s="517"/>
      <c r="T29" s="517"/>
      <c r="U29" s="53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</row>
    <row r="30" spans="1:34" x14ac:dyDescent="0.3">
      <c r="A30" s="517"/>
      <c r="B30" s="435" t="s">
        <v>114</v>
      </c>
      <c r="C30" s="484" t="s">
        <v>115</v>
      </c>
      <c r="D30" s="484"/>
      <c r="E30" s="484" t="s">
        <v>66</v>
      </c>
      <c r="F30" s="484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3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</row>
    <row r="31" spans="1:34" ht="15" thickBot="1" x14ac:dyDescent="0.35">
      <c r="A31" s="517"/>
      <c r="B31" s="436" t="s">
        <v>101</v>
      </c>
      <c r="C31" s="437"/>
      <c r="D31" s="438"/>
      <c r="E31" s="437"/>
      <c r="F31" s="439" t="s">
        <v>4651</v>
      </c>
      <c r="G31" s="439" t="s">
        <v>4646</v>
      </c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3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</row>
    <row r="32" spans="1:34" x14ac:dyDescent="0.3">
      <c r="A32" s="517"/>
      <c r="B32" s="440" t="s">
        <v>118</v>
      </c>
      <c r="C32" s="441"/>
      <c r="D32" s="453">
        <v>1125823.2399999998</v>
      </c>
      <c r="E32" s="441" t="s">
        <v>105</v>
      </c>
      <c r="F32" s="98">
        <v>3029206.4499999997</v>
      </c>
      <c r="G32" s="98">
        <v>1125823.2399999998</v>
      </c>
      <c r="H32" s="517"/>
      <c r="I32" s="517"/>
      <c r="J32" s="517"/>
      <c r="K32" s="517"/>
      <c r="L32" s="517"/>
      <c r="M32" s="537"/>
      <c r="N32" s="517"/>
      <c r="O32" s="517"/>
      <c r="P32" s="517"/>
      <c r="Q32" s="517"/>
      <c r="R32" s="517"/>
      <c r="S32" s="517"/>
      <c r="T32" s="517"/>
      <c r="U32" s="537"/>
      <c r="V32" s="517"/>
      <c r="W32" s="517"/>
      <c r="X32" s="517"/>
      <c r="Y32" s="517"/>
      <c r="Z32" s="517"/>
      <c r="AA32" s="517"/>
      <c r="AB32" s="517"/>
      <c r="AC32" s="517"/>
      <c r="AD32" s="517"/>
      <c r="AE32" s="517"/>
      <c r="AF32" s="517"/>
      <c r="AG32" s="517"/>
    </row>
    <row r="33" spans="2:21" x14ac:dyDescent="0.3">
      <c r="B33" s="443" t="s">
        <v>119</v>
      </c>
      <c r="C33" s="444"/>
      <c r="D33" s="454">
        <v>0</v>
      </c>
      <c r="E33" s="444"/>
      <c r="F33" s="99">
        <v>0</v>
      </c>
      <c r="G33" s="99">
        <v>0</v>
      </c>
      <c r="H33" s="517"/>
      <c r="I33" s="517"/>
      <c r="J33" s="517"/>
      <c r="K33" s="517"/>
      <c r="L33" s="517"/>
      <c r="M33" s="537"/>
      <c r="N33" s="517"/>
      <c r="O33" s="517"/>
      <c r="P33" s="517"/>
      <c r="Q33" s="517"/>
      <c r="R33" s="517"/>
      <c r="S33" s="517"/>
      <c r="T33" s="517"/>
      <c r="U33" s="537"/>
    </row>
    <row r="34" spans="2:21" ht="15" thickBot="1" x14ac:dyDescent="0.35">
      <c r="B34" s="449" t="s">
        <v>120</v>
      </c>
      <c r="C34" s="450"/>
      <c r="D34" s="455">
        <v>1125823.2399999998</v>
      </c>
      <c r="E34" s="451" t="s">
        <v>105</v>
      </c>
      <c r="F34" s="101">
        <v>3029206.4499999997</v>
      </c>
      <c r="G34" s="101">
        <v>1125823.2399999998</v>
      </c>
      <c r="H34" s="517"/>
      <c r="I34" s="517"/>
      <c r="J34" s="517"/>
      <c r="K34" s="517"/>
      <c r="L34" s="517"/>
      <c r="M34" s="537"/>
      <c r="N34" s="517"/>
      <c r="O34" s="517"/>
      <c r="P34" s="517"/>
      <c r="Q34" s="517"/>
      <c r="R34" s="517"/>
      <c r="S34" s="517"/>
      <c r="T34" s="517"/>
      <c r="U34" s="537"/>
    </row>
    <row r="35" spans="2:21" ht="39" customHeight="1" x14ac:dyDescent="0.3">
      <c r="B35" s="485" t="s">
        <v>4652</v>
      </c>
      <c r="C35" s="485"/>
      <c r="D35" s="485"/>
      <c r="E35" s="485"/>
      <c r="F35" s="102">
        <v>824272.71000000008</v>
      </c>
      <c r="G35" s="572">
        <v>401568.96000000008</v>
      </c>
      <c r="H35" s="517"/>
      <c r="I35" s="517"/>
      <c r="J35" s="517"/>
      <c r="K35" s="517"/>
      <c r="L35" s="517"/>
      <c r="M35" s="537"/>
      <c r="N35" s="517"/>
      <c r="O35" s="517"/>
      <c r="P35" s="517"/>
      <c r="Q35" s="517"/>
      <c r="R35" s="517"/>
      <c r="S35" s="517"/>
      <c r="T35" s="517"/>
      <c r="U35" s="537"/>
    </row>
    <row r="36" spans="2:21" ht="37.5" customHeight="1" x14ac:dyDescent="0.3">
      <c r="B36" s="456" t="s">
        <v>122</v>
      </c>
      <c r="C36" s="456"/>
      <c r="D36" s="456"/>
      <c r="E36" s="456"/>
      <c r="F36" s="456"/>
      <c r="G36" s="517"/>
      <c r="H36" s="517"/>
      <c r="I36" s="517"/>
      <c r="J36" s="517"/>
      <c r="K36" s="517"/>
      <c r="L36" s="517"/>
      <c r="M36" s="537"/>
      <c r="N36" s="517"/>
      <c r="O36" s="517"/>
      <c r="P36" s="517"/>
      <c r="Q36" s="517"/>
      <c r="R36" s="517"/>
      <c r="S36" s="517"/>
      <c r="T36" s="517"/>
      <c r="U36" s="517"/>
    </row>
    <row r="37" spans="2:21" ht="20.25" customHeight="1" x14ac:dyDescent="0.3">
      <c r="B37" s="440"/>
      <c r="C37" s="440"/>
      <c r="D37" s="440"/>
      <c r="E37" s="440"/>
      <c r="F37" s="440"/>
      <c r="G37" s="517"/>
      <c r="H37" s="517"/>
      <c r="I37" s="517"/>
      <c r="J37" s="517"/>
      <c r="K37" s="517"/>
      <c r="L37" s="517"/>
      <c r="M37" s="537"/>
      <c r="N37" s="517"/>
      <c r="O37" s="517"/>
      <c r="P37" s="517"/>
      <c r="Q37" s="517"/>
      <c r="R37" s="517"/>
      <c r="S37" s="517"/>
      <c r="T37" s="517"/>
      <c r="U37" s="517"/>
    </row>
    <row r="38" spans="2:21" ht="32.25" customHeight="1" x14ac:dyDescent="0.3">
      <c r="B38" s="486" t="s">
        <v>123</v>
      </c>
      <c r="C38" s="486"/>
      <c r="D38" s="486"/>
      <c r="E38" s="486"/>
      <c r="F38" s="486"/>
      <c r="G38" s="486"/>
      <c r="H38" s="486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517"/>
      <c r="U38" s="517"/>
    </row>
    <row r="39" spans="2:21" ht="15" customHeight="1" thickBot="1" x14ac:dyDescent="0.35">
      <c r="B39" s="457" t="s">
        <v>114</v>
      </c>
      <c r="C39" s="487" t="s">
        <v>4653</v>
      </c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517"/>
      <c r="R39" s="517"/>
      <c r="S39" s="517"/>
      <c r="T39" s="517"/>
      <c r="U39" s="517"/>
    </row>
    <row r="40" spans="2:21" ht="15" thickBot="1" x14ac:dyDescent="0.35">
      <c r="B40" s="436" t="s">
        <v>101</v>
      </c>
      <c r="C40" s="458">
        <v>2023</v>
      </c>
      <c r="D40" s="458"/>
      <c r="E40" s="458">
        <v>2024</v>
      </c>
      <c r="F40" s="458"/>
      <c r="G40" s="458">
        <v>2025</v>
      </c>
      <c r="H40" s="458"/>
      <c r="I40" s="458">
        <v>2026</v>
      </c>
      <c r="J40" s="458"/>
      <c r="K40" s="458">
        <v>2027</v>
      </c>
      <c r="L40" s="458"/>
      <c r="M40" s="458"/>
      <c r="N40" s="459" t="s">
        <v>90</v>
      </c>
      <c r="O40" s="459"/>
      <c r="P40" s="459" t="s">
        <v>15</v>
      </c>
      <c r="Q40" s="517"/>
      <c r="R40" s="517"/>
      <c r="S40" s="517"/>
      <c r="T40" s="517"/>
      <c r="U40" s="517"/>
    </row>
    <row r="41" spans="2:21" x14ac:dyDescent="0.3">
      <c r="B41" s="443" t="s">
        <v>125</v>
      </c>
      <c r="C41" s="445" t="s">
        <v>105</v>
      </c>
      <c r="D41" s="460">
        <v>700833.84631035407</v>
      </c>
      <c r="E41" s="461" t="s">
        <v>105</v>
      </c>
      <c r="F41" s="460">
        <v>2810054.6649735891</v>
      </c>
      <c r="G41" s="461" t="s">
        <v>105</v>
      </c>
      <c r="H41" s="460">
        <v>2320254.9940331136</v>
      </c>
      <c r="I41" s="461" t="s">
        <v>105</v>
      </c>
      <c r="J41" s="460">
        <v>826996.14131570957</v>
      </c>
      <c r="K41" s="461" t="s">
        <v>105</v>
      </c>
      <c r="L41" s="460">
        <v>860002.39079689223</v>
      </c>
      <c r="M41" s="461" t="s">
        <v>105</v>
      </c>
      <c r="N41" s="460">
        <v>46594164.220736504</v>
      </c>
      <c r="O41" s="461" t="s">
        <v>105</v>
      </c>
      <c r="P41" s="462">
        <v>54112306.258166164</v>
      </c>
      <c r="Q41" s="517"/>
      <c r="R41" s="517"/>
      <c r="S41" s="517"/>
      <c r="T41" s="517"/>
      <c r="U41" s="517"/>
    </row>
    <row r="42" spans="2:21" ht="15.75" customHeight="1" thickBot="1" x14ac:dyDescent="0.35">
      <c r="B42" s="436" t="s">
        <v>126</v>
      </c>
      <c r="C42" s="438"/>
      <c r="D42" s="463">
        <v>239150.99541259385</v>
      </c>
      <c r="E42" s="463"/>
      <c r="F42" s="463">
        <v>911964.63543716958</v>
      </c>
      <c r="G42" s="463"/>
      <c r="H42" s="463">
        <v>839644.72110202443</v>
      </c>
      <c r="I42" s="463"/>
      <c r="J42" s="463">
        <v>815799.6091868513</v>
      </c>
      <c r="K42" s="463"/>
      <c r="L42" s="463">
        <v>814765.95451340813</v>
      </c>
      <c r="M42" s="463"/>
      <c r="N42" s="463">
        <v>28341804.758419208</v>
      </c>
      <c r="O42" s="438"/>
      <c r="P42" s="464">
        <v>31963130.678166166</v>
      </c>
      <c r="Q42" s="571" t="s">
        <v>127</v>
      </c>
      <c r="R42" s="571"/>
      <c r="S42" s="488" t="s">
        <v>128</v>
      </c>
      <c r="T42" s="489"/>
      <c r="U42" s="490"/>
    </row>
    <row r="43" spans="2:21" ht="15" thickBot="1" x14ac:dyDescent="0.35">
      <c r="B43" s="436" t="s">
        <v>15</v>
      </c>
      <c r="C43" s="438" t="s">
        <v>105</v>
      </c>
      <c r="D43" s="108">
        <v>461682.85089776025</v>
      </c>
      <c r="E43" s="108" t="s">
        <v>105</v>
      </c>
      <c r="F43" s="108">
        <v>1898090.0295364195</v>
      </c>
      <c r="G43" s="108" t="s">
        <v>105</v>
      </c>
      <c r="H43" s="108">
        <v>1480610.2729310892</v>
      </c>
      <c r="I43" s="108" t="s">
        <v>105</v>
      </c>
      <c r="J43" s="108">
        <v>11196.532128858264</v>
      </c>
      <c r="K43" s="108" t="s">
        <v>105</v>
      </c>
      <c r="L43" s="108">
        <v>45236.436283484101</v>
      </c>
      <c r="M43" s="108" t="s">
        <v>105</v>
      </c>
      <c r="N43" s="108">
        <v>18252359.462317295</v>
      </c>
      <c r="O43" s="438" t="s">
        <v>105</v>
      </c>
      <c r="P43" s="108">
        <v>22149175.579999998</v>
      </c>
      <c r="Q43" s="517"/>
      <c r="R43" s="517"/>
      <c r="S43" s="491"/>
      <c r="T43" s="492"/>
      <c r="U43" s="493"/>
    </row>
    <row r="44" spans="2:21" x14ac:dyDescent="0.3">
      <c r="B44" s="517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73"/>
      <c r="T44" s="494"/>
      <c r="U44" s="574"/>
    </row>
    <row r="45" spans="2:21" x14ac:dyDescent="0.3">
      <c r="B45" s="575" t="s">
        <v>129</v>
      </c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17"/>
      <c r="T45" s="517"/>
      <c r="U45" s="517"/>
    </row>
    <row r="47" spans="2:21" x14ac:dyDescent="0.3">
      <c r="B47" s="435" t="s">
        <v>114</v>
      </c>
      <c r="C47" s="484"/>
      <c r="D47" s="484"/>
      <c r="E47" s="484" t="s">
        <v>66</v>
      </c>
      <c r="F47" s="484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7"/>
      <c r="S47" s="517"/>
      <c r="T47" s="517"/>
      <c r="U47" s="517"/>
    </row>
    <row r="48" spans="2:21" ht="15" thickBot="1" x14ac:dyDescent="0.35">
      <c r="B48" s="436" t="s">
        <v>101</v>
      </c>
      <c r="C48" s="437"/>
      <c r="D48" s="438"/>
      <c r="E48" s="465"/>
      <c r="F48" s="466">
        <v>2023</v>
      </c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</row>
    <row r="49" spans="2:19" ht="14.4" customHeight="1" x14ac:dyDescent="0.3">
      <c r="B49" s="495" t="s">
        <v>130</v>
      </c>
      <c r="C49" s="495"/>
      <c r="D49" s="495"/>
      <c r="E49" s="467"/>
      <c r="F49" s="468"/>
      <c r="G49" s="517"/>
      <c r="H49" s="417"/>
      <c r="I49" s="517"/>
      <c r="J49" s="517"/>
      <c r="K49" s="517"/>
      <c r="L49" s="517"/>
      <c r="M49" s="517"/>
      <c r="N49" s="517"/>
      <c r="O49" s="517"/>
      <c r="P49" s="517"/>
      <c r="Q49" s="517"/>
      <c r="R49" s="517"/>
      <c r="S49" s="517"/>
    </row>
    <row r="50" spans="2:19" x14ac:dyDescent="0.3">
      <c r="B50" s="576" t="s">
        <v>131</v>
      </c>
      <c r="C50" s="577"/>
      <c r="D50" s="578"/>
      <c r="E50" s="441" t="s">
        <v>105</v>
      </c>
      <c r="F50" s="579">
        <v>3029206.4499999997</v>
      </c>
      <c r="G50" s="571" t="s">
        <v>106</v>
      </c>
      <c r="H50" s="417"/>
      <c r="I50" s="517"/>
      <c r="J50" s="517"/>
      <c r="K50" s="517"/>
      <c r="L50" s="517"/>
      <c r="M50" s="517"/>
      <c r="N50" s="517"/>
      <c r="O50" s="517"/>
      <c r="P50" s="517"/>
      <c r="Q50" s="517"/>
      <c r="R50" s="517"/>
      <c r="S50" s="517"/>
    </row>
    <row r="51" spans="2:19" ht="28.8" x14ac:dyDescent="0.3">
      <c r="B51" s="443" t="s">
        <v>132</v>
      </c>
      <c r="C51" s="444"/>
      <c r="D51" s="445"/>
      <c r="E51" s="469" t="s">
        <v>105</v>
      </c>
      <c r="F51" s="470"/>
      <c r="G51" s="517"/>
      <c r="H51" s="417"/>
      <c r="I51" s="517"/>
      <c r="J51" s="580" t="s">
        <v>133</v>
      </c>
      <c r="K51" s="581"/>
      <c r="L51" s="581"/>
      <c r="M51" s="581"/>
      <c r="N51" s="581"/>
      <c r="O51" s="581"/>
      <c r="P51" s="581"/>
      <c r="Q51" s="581"/>
      <c r="R51" s="581"/>
      <c r="S51" s="582"/>
    </row>
    <row r="52" spans="2:19" x14ac:dyDescent="0.3">
      <c r="B52" s="471" t="s">
        <v>134</v>
      </c>
      <c r="C52" s="445"/>
      <c r="D52" s="445"/>
      <c r="E52" s="517"/>
      <c r="F52" s="472">
        <v>0</v>
      </c>
      <c r="G52" s="473" t="s">
        <v>106</v>
      </c>
      <c r="H52" s="4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7"/>
    </row>
    <row r="53" spans="2:19" x14ac:dyDescent="0.3">
      <c r="B53" s="517" t="s">
        <v>83</v>
      </c>
      <c r="C53" s="517"/>
      <c r="D53" s="517"/>
      <c r="E53" s="517"/>
      <c r="F53" s="474">
        <v>44.544883846988135</v>
      </c>
      <c r="G53" s="417"/>
      <c r="H53" s="417"/>
      <c r="I53" s="417"/>
      <c r="J53" s="417"/>
      <c r="K53" s="517"/>
      <c r="L53" s="517"/>
      <c r="M53" s="517"/>
      <c r="N53" s="517"/>
      <c r="O53" s="517"/>
      <c r="P53" s="517"/>
      <c r="Q53" s="517"/>
      <c r="R53" s="517"/>
      <c r="S53" s="517"/>
    </row>
    <row r="54" spans="2:19" ht="15" thickBot="1" x14ac:dyDescent="0.35">
      <c r="B54" s="583" t="s">
        <v>135</v>
      </c>
      <c r="C54" s="450"/>
      <c r="D54" s="450"/>
      <c r="E54" s="451" t="s">
        <v>105</v>
      </c>
      <c r="F54" s="475">
        <v>4.4108242907943254E-2</v>
      </c>
      <c r="G54" s="417"/>
      <c r="H54" s="417"/>
      <c r="I54" s="417"/>
      <c r="J54" s="417"/>
      <c r="K54" s="517"/>
      <c r="L54" s="517"/>
      <c r="M54" s="517"/>
      <c r="N54" s="517"/>
      <c r="O54" s="517"/>
      <c r="P54" s="517"/>
      <c r="Q54" s="517"/>
      <c r="R54" s="517"/>
      <c r="S54" s="517"/>
    </row>
    <row r="56" spans="2:19" ht="18.75" customHeight="1" x14ac:dyDescent="0.3">
      <c r="B56" s="496" t="s">
        <v>136</v>
      </c>
      <c r="C56" s="496"/>
      <c r="D56" s="496"/>
      <c r="E56" s="496"/>
      <c r="F56" s="496"/>
      <c r="G56" s="496"/>
      <c r="H56" s="496"/>
      <c r="I56" s="496"/>
      <c r="J56" s="496"/>
      <c r="K56" s="496"/>
      <c r="L56" s="496"/>
      <c r="M56" s="517"/>
      <c r="N56" s="517"/>
      <c r="O56" s="517"/>
      <c r="P56" s="517"/>
      <c r="Q56" s="517"/>
      <c r="R56" s="517"/>
      <c r="S56" s="517"/>
    </row>
    <row r="57" spans="2:19" x14ac:dyDescent="0.3">
      <c r="B57" s="434" t="s">
        <v>137</v>
      </c>
      <c r="C57" s="517"/>
      <c r="D57" s="517"/>
      <c r="E57" s="517"/>
      <c r="F57" s="119">
        <v>0</v>
      </c>
      <c r="G57" s="571" t="s">
        <v>106</v>
      </c>
      <c r="H57" s="517"/>
      <c r="I57" s="517"/>
      <c r="J57" s="517"/>
      <c r="K57" s="517"/>
      <c r="L57" s="517"/>
      <c r="M57" s="517"/>
      <c r="N57" s="517"/>
      <c r="O57" s="517"/>
      <c r="P57" s="517"/>
      <c r="Q57" s="517"/>
      <c r="R57" s="517"/>
      <c r="S57" s="517"/>
    </row>
    <row r="58" spans="2:19" x14ac:dyDescent="0.3">
      <c r="B58" s="434" t="s">
        <v>138</v>
      </c>
      <c r="C58" s="517"/>
      <c r="D58" s="517"/>
      <c r="E58" s="517"/>
      <c r="F58" s="571"/>
      <c r="G58" s="571" t="s">
        <v>106</v>
      </c>
      <c r="H58" s="517"/>
      <c r="I58" s="517"/>
      <c r="J58" s="517"/>
      <c r="K58" s="517"/>
      <c r="L58" s="517"/>
      <c r="M58" s="517"/>
      <c r="N58" s="517"/>
      <c r="O58" s="517"/>
      <c r="P58" s="517"/>
      <c r="Q58" s="517"/>
      <c r="R58" s="517"/>
      <c r="S58" s="517"/>
    </row>
    <row r="59" spans="2:19" x14ac:dyDescent="0.3">
      <c r="B59" s="434" t="s">
        <v>139</v>
      </c>
      <c r="C59" s="517"/>
      <c r="D59" s="517"/>
      <c r="E59" s="517"/>
      <c r="F59" s="571"/>
      <c r="G59" s="571" t="s">
        <v>106</v>
      </c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7"/>
      <c r="S59" s="517"/>
    </row>
    <row r="60" spans="2:19" x14ac:dyDescent="0.3">
      <c r="B60" s="434" t="s">
        <v>140</v>
      </c>
      <c r="C60" s="517"/>
      <c r="D60" s="517"/>
      <c r="E60" s="517"/>
      <c r="F60" s="571"/>
      <c r="G60" s="571" t="s">
        <v>106</v>
      </c>
      <c r="H60" s="517"/>
      <c r="I60" s="517"/>
      <c r="J60" s="517"/>
      <c r="K60" s="517"/>
      <c r="L60" s="517"/>
      <c r="M60" s="517"/>
      <c r="N60" s="517"/>
      <c r="O60" s="517"/>
      <c r="P60" s="517"/>
      <c r="Q60" s="517"/>
      <c r="R60" s="517"/>
      <c r="S60" s="517"/>
    </row>
    <row r="63" spans="2:19" ht="39" customHeight="1" x14ac:dyDescent="0.3">
      <c r="B63" s="497" t="s">
        <v>4654</v>
      </c>
      <c r="C63" s="497"/>
      <c r="D63" s="497"/>
      <c r="E63" s="497"/>
      <c r="F63" s="497"/>
      <c r="G63" s="497"/>
      <c r="H63" s="497"/>
      <c r="I63" s="517"/>
      <c r="J63" s="517"/>
      <c r="K63" s="517"/>
      <c r="L63" s="517"/>
      <c r="M63" s="517"/>
      <c r="N63" s="517"/>
      <c r="O63" s="517"/>
      <c r="P63" s="517"/>
      <c r="Q63" s="517"/>
      <c r="R63" s="517"/>
      <c r="S63" s="517"/>
    </row>
    <row r="64" spans="2:19" x14ac:dyDescent="0.3">
      <c r="B64" s="517"/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37"/>
      <c r="O64" s="517"/>
      <c r="P64" s="517"/>
      <c r="Q64" s="517"/>
      <c r="R64" s="537"/>
      <c r="S64" s="517"/>
    </row>
    <row r="65" spans="14:18" x14ac:dyDescent="0.3">
      <c r="N65" s="537"/>
      <c r="O65" s="517"/>
      <c r="P65" s="517"/>
      <c r="Q65" s="517"/>
      <c r="R65" s="537"/>
    </row>
    <row r="66" spans="14:18" x14ac:dyDescent="0.3">
      <c r="N66" s="537"/>
      <c r="O66" s="517"/>
      <c r="P66" s="517"/>
      <c r="Q66" s="517"/>
      <c r="R66" s="537"/>
    </row>
    <row r="67" spans="14:18" x14ac:dyDescent="0.3">
      <c r="N67" s="537"/>
      <c r="O67" s="517"/>
      <c r="P67" s="517"/>
      <c r="Q67" s="517"/>
      <c r="R67" s="537"/>
    </row>
    <row r="68" spans="14:18" x14ac:dyDescent="0.3">
      <c r="N68" s="537"/>
      <c r="O68" s="517"/>
      <c r="P68" s="517"/>
      <c r="Q68" s="517"/>
      <c r="R68" s="584"/>
    </row>
    <row r="69" spans="14:18" x14ac:dyDescent="0.3">
      <c r="N69" s="537"/>
      <c r="O69" s="517"/>
      <c r="P69" s="517"/>
      <c r="Q69" s="517"/>
      <c r="R69" s="517"/>
    </row>
    <row r="70" spans="14:18" x14ac:dyDescent="0.3">
      <c r="N70" s="537"/>
      <c r="O70" s="517"/>
      <c r="P70" s="517"/>
      <c r="Q70" s="517"/>
      <c r="R70" s="517"/>
    </row>
    <row r="71" spans="14:18" x14ac:dyDescent="0.3">
      <c r="N71" s="537"/>
      <c r="O71" s="517"/>
      <c r="P71" s="517"/>
      <c r="Q71" s="517"/>
      <c r="R71" s="517"/>
    </row>
  </sheetData>
  <conditionalFormatting sqref="B4">
    <cfRule type="containsText" dxfId="7" priority="3" operator="containsText" text="***Select***">
      <formula>NOT(ISERROR(SEARCH("***Select***",B4)))</formula>
    </cfRule>
    <cfRule type="containsText" dxfId="6" priority="4" operator="containsText" text="***Select***">
      <formula>NOT(ISERROR(SEARCH("***Select***",B4)))</formula>
    </cfRule>
  </conditionalFormatting>
  <conditionalFormatting sqref="B4:B5">
    <cfRule type="containsText" dxfId="5" priority="1" operator="containsText" text="***Select***">
      <formula>NOT(ISERROR(SEARCH("***Select***",B4)))</formula>
    </cfRule>
    <cfRule type="containsText" dxfId="4" priority="2" operator="containsText" text="***Select***">
      <formula>NOT(ISERROR(SEARCH("***Select***",B4)))</formula>
    </cfRule>
  </conditionalFormatting>
  <dataValidations count="1">
    <dataValidation type="list" errorStyle="information" showInputMessage="1" showErrorMessage="1" prompt="Please select" sqref="P6:P7" xr:uid="{1C46E702-3763-4AAD-AEA8-3160441005E2}">
      <formula1>Schedule_Confirmation</formula1>
    </dataValidation>
  </dataValidations>
  <pageMargins left="0.7" right="0.7" top="0.75" bottom="0.75" header="0.3" footer="0.3"/>
  <pageSetup paperSize="5" scale="42" orientation="landscape" r:id="rId1"/>
  <customProperties>
    <customPr name="EpmWorksheetKeyString_GUID" r:id="rId2"/>
  </customProperties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67B2-E631-47AC-8113-C14A55E9ABF4}">
  <sheetPr>
    <tabColor rgb="FF92D050"/>
  </sheetPr>
  <dimension ref="A44:J55"/>
  <sheetViews>
    <sheetView view="pageBreakPreview" zoomScaleNormal="100" zoomScaleSheetLayoutView="100" workbookViewId="0">
      <selection activeCell="H45" sqref="H45"/>
    </sheetView>
  </sheetViews>
  <sheetFormatPr defaultColWidth="8.88671875" defaultRowHeight="13.2" x14ac:dyDescent="0.25"/>
  <cols>
    <col min="1" max="1" width="20.6640625" style="416" bestFit="1" customWidth="1"/>
    <col min="2" max="2" width="10.33203125" style="416" bestFit="1" customWidth="1"/>
    <col min="3" max="3" width="8.88671875" style="416"/>
    <col min="4" max="4" width="10.33203125" style="416" bestFit="1" customWidth="1"/>
    <col min="5" max="5" width="8.88671875" style="416"/>
    <col min="6" max="6" width="11.109375" style="416" bestFit="1" customWidth="1"/>
    <col min="7" max="7" width="8.88671875" style="416"/>
    <col min="8" max="8" width="10.33203125" style="416" bestFit="1" customWidth="1"/>
    <col min="9" max="9" width="8.88671875" style="416"/>
    <col min="10" max="10" width="11.33203125" style="416" bestFit="1" customWidth="1"/>
    <col min="11" max="16384" width="8.88671875" style="416"/>
  </cols>
  <sheetData>
    <row r="44" spans="1:10" x14ac:dyDescent="0.25">
      <c r="B44" s="585" t="s">
        <v>4655</v>
      </c>
      <c r="D44" s="585" t="s">
        <v>4656</v>
      </c>
      <c r="F44" s="585" t="s">
        <v>4657</v>
      </c>
      <c r="H44" s="585" t="s">
        <v>4658</v>
      </c>
      <c r="J44" s="585" t="s">
        <v>4659</v>
      </c>
    </row>
    <row r="45" spans="1:10" x14ac:dyDescent="0.25">
      <c r="A45" s="476" t="s">
        <v>4660</v>
      </c>
      <c r="B45" s="477">
        <v>89109.319999999992</v>
      </c>
      <c r="D45" s="477">
        <v>90273.9</v>
      </c>
      <c r="F45" s="477">
        <v>90273.9</v>
      </c>
      <c r="H45" s="477">
        <v>0</v>
      </c>
      <c r="J45" s="477">
        <v>269657.12</v>
      </c>
    </row>
    <row r="48" spans="1:10" x14ac:dyDescent="0.25">
      <c r="B48" s="120">
        <v>29037.759999999998</v>
      </c>
      <c r="D48" s="120">
        <v>471.25</v>
      </c>
      <c r="F48" s="120">
        <v>471.25</v>
      </c>
    </row>
    <row r="49" spans="2:6" x14ac:dyDescent="0.25">
      <c r="B49" s="120">
        <v>471.25</v>
      </c>
      <c r="D49" s="120">
        <v>29620.05</v>
      </c>
      <c r="F49" s="120">
        <v>29620.05</v>
      </c>
    </row>
    <row r="50" spans="2:6" x14ac:dyDescent="0.25">
      <c r="B50" s="120">
        <v>29037.759999999998</v>
      </c>
      <c r="D50" s="120">
        <v>29620.05</v>
      </c>
      <c r="F50" s="120">
        <v>471.25</v>
      </c>
    </row>
    <row r="51" spans="2:6" x14ac:dyDescent="0.25">
      <c r="B51" s="120">
        <v>471.25</v>
      </c>
      <c r="D51" s="120">
        <v>471.25</v>
      </c>
      <c r="F51" s="120">
        <v>29620.05</v>
      </c>
    </row>
    <row r="52" spans="2:6" x14ac:dyDescent="0.25">
      <c r="B52" s="120">
        <v>29620.05</v>
      </c>
      <c r="D52" s="120">
        <v>29620.05</v>
      </c>
      <c r="F52" s="120">
        <v>471.25</v>
      </c>
    </row>
    <row r="53" spans="2:6" x14ac:dyDescent="0.25">
      <c r="B53" s="120">
        <v>471.25</v>
      </c>
      <c r="D53" s="120">
        <v>471.25</v>
      </c>
      <c r="F53" s="120">
        <v>29620.05</v>
      </c>
    </row>
    <row r="54" spans="2:6" x14ac:dyDescent="0.25">
      <c r="F54" s="120">
        <v>-29620.05</v>
      </c>
    </row>
    <row r="55" spans="2:6" x14ac:dyDescent="0.25">
      <c r="F55" s="120">
        <v>29620.05</v>
      </c>
    </row>
  </sheetData>
  <pageMargins left="0.7" right="0.7" top="0.75" bottom="0.75" header="0.3" footer="0.3"/>
  <pageSetup scale="36" orientation="portrait" horizontalDpi="90" verticalDpi="90" r:id="rId1"/>
  <customProperties>
    <customPr name="EpmWorksheetKeyString_GUID" r:id="rId2"/>
  </customPropertie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E60E-81A3-433E-ADE4-461A14BE2D93}">
  <sheetPr>
    <tabColor rgb="FF92D050"/>
    <pageSetUpPr fitToPage="1"/>
  </sheetPr>
  <dimension ref="A1:AE27"/>
  <sheetViews>
    <sheetView view="pageBreakPreview" zoomScale="80" zoomScaleNormal="80" zoomScaleSheetLayoutView="80" workbookViewId="0">
      <selection activeCell="F33" sqref="F33"/>
    </sheetView>
  </sheetViews>
  <sheetFormatPr defaultRowHeight="14.4" x14ac:dyDescent="0.3"/>
  <cols>
    <col min="1" max="1" width="18.33203125" style="517" customWidth="1"/>
    <col min="2" max="2" width="26.44140625" style="517" customWidth="1"/>
    <col min="3" max="3" width="8.44140625" style="517" customWidth="1"/>
    <col min="4" max="4" width="31.6640625" style="517" bestFit="1" customWidth="1"/>
    <col min="5" max="5" width="11.6640625" style="517" customWidth="1"/>
    <col min="6" max="6" width="19.6640625" style="517" bestFit="1" customWidth="1"/>
    <col min="7" max="7" width="18.33203125" style="517" bestFit="1" customWidth="1"/>
    <col min="8" max="8" width="13.33203125" style="517" customWidth="1"/>
    <col min="9" max="9" width="13.33203125" style="517" bestFit="1" customWidth="1"/>
    <col min="10" max="10" width="13.44140625" style="517" bestFit="1" customWidth="1"/>
    <col min="11" max="11" width="13.33203125" style="517" bestFit="1" customWidth="1"/>
    <col min="12" max="12" width="14.44140625" style="517" bestFit="1" customWidth="1"/>
    <col min="13" max="13" width="15.44140625" style="517" bestFit="1" customWidth="1"/>
    <col min="14" max="14" width="21.88671875" style="517" customWidth="1"/>
    <col min="15" max="15" width="14" style="517" customWidth="1"/>
    <col min="16" max="16" width="14.88671875" style="517" customWidth="1"/>
    <col min="17" max="17" width="10.109375" style="517" bestFit="1" customWidth="1"/>
    <col min="18" max="18" width="32.5546875" style="517" bestFit="1" customWidth="1"/>
    <col min="19" max="20" width="10.6640625" style="517" customWidth="1"/>
    <col min="21" max="21" width="10.88671875" style="517" customWidth="1"/>
    <col min="22" max="26" width="12.44140625" style="517" bestFit="1" customWidth="1"/>
    <col min="27" max="28" width="15.33203125" style="517" bestFit="1" customWidth="1"/>
    <col min="29" max="29" width="12.44140625" style="517" customWidth="1"/>
    <col min="30" max="30" width="15.109375" style="517" customWidth="1"/>
    <col min="31" max="31" width="8.88671875" style="56"/>
    <col min="32" max="32" width="9.88671875" style="517" customWidth="1"/>
    <col min="33" max="33" width="11.6640625" style="517" customWidth="1"/>
    <col min="34" max="258" width="8.88671875" style="517"/>
    <col min="259" max="259" width="52.5546875" style="517" bestFit="1" customWidth="1"/>
    <col min="260" max="514" width="8.88671875" style="517"/>
    <col min="515" max="515" width="52.5546875" style="517" bestFit="1" customWidth="1"/>
    <col min="516" max="770" width="8.88671875" style="517"/>
    <col min="771" max="771" width="52.5546875" style="517" bestFit="1" customWidth="1"/>
    <col min="772" max="1026" width="8.88671875" style="517"/>
    <col min="1027" max="1027" width="52.5546875" style="517" bestFit="1" customWidth="1"/>
    <col min="1028" max="1282" width="8.88671875" style="517"/>
    <col min="1283" max="1283" width="52.5546875" style="517" bestFit="1" customWidth="1"/>
    <col min="1284" max="1538" width="8.88671875" style="517"/>
    <col min="1539" max="1539" width="52.5546875" style="517" bestFit="1" customWidth="1"/>
    <col min="1540" max="1794" width="8.88671875" style="517"/>
    <col min="1795" max="1795" width="52.5546875" style="517" bestFit="1" customWidth="1"/>
    <col min="1796" max="2050" width="8.88671875" style="517"/>
    <col min="2051" max="2051" width="52.5546875" style="517" bestFit="1" customWidth="1"/>
    <col min="2052" max="2306" width="8.88671875" style="517"/>
    <col min="2307" max="2307" width="52.5546875" style="517" bestFit="1" customWidth="1"/>
    <col min="2308" max="2562" width="8.88671875" style="517"/>
    <col min="2563" max="2563" width="52.5546875" style="517" bestFit="1" customWidth="1"/>
    <col min="2564" max="2818" width="8.88671875" style="517"/>
    <col min="2819" max="2819" width="52.5546875" style="517" bestFit="1" customWidth="1"/>
    <col min="2820" max="3074" width="8.88671875" style="517"/>
    <col min="3075" max="3075" width="52.5546875" style="517" bestFit="1" customWidth="1"/>
    <col min="3076" max="3330" width="8.88671875" style="517"/>
    <col min="3331" max="3331" width="52.5546875" style="517" bestFit="1" customWidth="1"/>
    <col min="3332" max="3586" width="8.88671875" style="517"/>
    <col min="3587" max="3587" width="52.5546875" style="517" bestFit="1" customWidth="1"/>
    <col min="3588" max="3842" width="8.88671875" style="517"/>
    <col min="3843" max="3843" width="52.5546875" style="517" bestFit="1" customWidth="1"/>
    <col min="3844" max="4098" width="8.88671875" style="517"/>
    <col min="4099" max="4099" width="52.5546875" style="517" bestFit="1" customWidth="1"/>
    <col min="4100" max="4354" width="8.88671875" style="517"/>
    <col min="4355" max="4355" width="52.5546875" style="517" bestFit="1" customWidth="1"/>
    <col min="4356" max="4610" width="8.88671875" style="517"/>
    <col min="4611" max="4611" width="52.5546875" style="517" bestFit="1" customWidth="1"/>
    <col min="4612" max="4866" width="8.88671875" style="517"/>
    <col min="4867" max="4867" width="52.5546875" style="517" bestFit="1" customWidth="1"/>
    <col min="4868" max="5122" width="8.88671875" style="517"/>
    <col min="5123" max="5123" width="52.5546875" style="517" bestFit="1" customWidth="1"/>
    <col min="5124" max="5378" width="8.88671875" style="517"/>
    <col min="5379" max="5379" width="52.5546875" style="517" bestFit="1" customWidth="1"/>
    <col min="5380" max="5634" width="8.88671875" style="517"/>
    <col min="5635" max="5635" width="52.5546875" style="517" bestFit="1" customWidth="1"/>
    <col min="5636" max="5890" width="8.88671875" style="517"/>
    <col min="5891" max="5891" width="52.5546875" style="517" bestFit="1" customWidth="1"/>
    <col min="5892" max="6146" width="8.88671875" style="517"/>
    <col min="6147" max="6147" width="52.5546875" style="517" bestFit="1" customWidth="1"/>
    <col min="6148" max="6402" width="8.88671875" style="517"/>
    <col min="6403" max="6403" width="52.5546875" style="517" bestFit="1" customWidth="1"/>
    <col min="6404" max="6658" width="8.88671875" style="517"/>
    <col min="6659" max="6659" width="52.5546875" style="517" bestFit="1" customWidth="1"/>
    <col min="6660" max="6914" width="8.88671875" style="517"/>
    <col min="6915" max="6915" width="52.5546875" style="517" bestFit="1" customWidth="1"/>
    <col min="6916" max="7170" width="8.88671875" style="517"/>
    <col min="7171" max="7171" width="52.5546875" style="517" bestFit="1" customWidth="1"/>
    <col min="7172" max="7426" width="8.88671875" style="517"/>
    <col min="7427" max="7427" width="52.5546875" style="517" bestFit="1" customWidth="1"/>
    <col min="7428" max="7682" width="8.88671875" style="517"/>
    <col min="7683" max="7683" width="52.5546875" style="517" bestFit="1" customWidth="1"/>
    <col min="7684" max="7938" width="8.88671875" style="517"/>
    <col min="7939" max="7939" width="52.5546875" style="517" bestFit="1" customWidth="1"/>
    <col min="7940" max="8194" width="8.88671875" style="517"/>
    <col min="8195" max="8195" width="52.5546875" style="517" bestFit="1" customWidth="1"/>
    <col min="8196" max="8450" width="8.88671875" style="517"/>
    <col min="8451" max="8451" width="52.5546875" style="517" bestFit="1" customWidth="1"/>
    <col min="8452" max="8706" width="8.88671875" style="517"/>
    <col min="8707" max="8707" width="52.5546875" style="517" bestFit="1" customWidth="1"/>
    <col min="8708" max="8962" width="8.88671875" style="517"/>
    <col min="8963" max="8963" width="52.5546875" style="517" bestFit="1" customWidth="1"/>
    <col min="8964" max="9218" width="8.88671875" style="517"/>
    <col min="9219" max="9219" width="52.5546875" style="517" bestFit="1" customWidth="1"/>
    <col min="9220" max="9474" width="8.88671875" style="517"/>
    <col min="9475" max="9475" width="52.5546875" style="517" bestFit="1" customWidth="1"/>
    <col min="9476" max="9730" width="8.88671875" style="517"/>
    <col min="9731" max="9731" width="52.5546875" style="517" bestFit="1" customWidth="1"/>
    <col min="9732" max="9986" width="8.88671875" style="517"/>
    <col min="9987" max="9987" width="52.5546875" style="517" bestFit="1" customWidth="1"/>
    <col min="9988" max="10242" width="8.88671875" style="517"/>
    <col min="10243" max="10243" width="52.5546875" style="517" bestFit="1" customWidth="1"/>
    <col min="10244" max="10498" width="8.88671875" style="517"/>
    <col min="10499" max="10499" width="52.5546875" style="517" bestFit="1" customWidth="1"/>
    <col min="10500" max="10754" width="8.88671875" style="517"/>
    <col min="10755" max="10755" width="52.5546875" style="517" bestFit="1" customWidth="1"/>
    <col min="10756" max="11010" width="8.88671875" style="517"/>
    <col min="11011" max="11011" width="52.5546875" style="517" bestFit="1" customWidth="1"/>
    <col min="11012" max="11266" width="8.88671875" style="517"/>
    <col min="11267" max="11267" width="52.5546875" style="517" bestFit="1" customWidth="1"/>
    <col min="11268" max="11522" width="8.88671875" style="517"/>
    <col min="11523" max="11523" width="52.5546875" style="517" bestFit="1" customWidth="1"/>
    <col min="11524" max="11778" width="8.88671875" style="517"/>
    <col min="11779" max="11779" width="52.5546875" style="517" bestFit="1" customWidth="1"/>
    <col min="11780" max="12034" width="8.88671875" style="517"/>
    <col min="12035" max="12035" width="52.5546875" style="517" bestFit="1" customWidth="1"/>
    <col min="12036" max="12290" width="8.88671875" style="517"/>
    <col min="12291" max="12291" width="52.5546875" style="517" bestFit="1" customWidth="1"/>
    <col min="12292" max="12546" width="8.88671875" style="517"/>
    <col min="12547" max="12547" width="52.5546875" style="517" bestFit="1" customWidth="1"/>
    <col min="12548" max="12802" width="8.88671875" style="517"/>
    <col min="12803" max="12803" width="52.5546875" style="517" bestFit="1" customWidth="1"/>
    <col min="12804" max="13058" width="8.88671875" style="517"/>
    <col min="13059" max="13059" width="52.5546875" style="517" bestFit="1" customWidth="1"/>
    <col min="13060" max="13314" width="8.88671875" style="517"/>
    <col min="13315" max="13315" width="52.5546875" style="517" bestFit="1" customWidth="1"/>
    <col min="13316" max="13570" width="8.88671875" style="517"/>
    <col min="13571" max="13571" width="52.5546875" style="517" bestFit="1" customWidth="1"/>
    <col min="13572" max="13826" width="8.88671875" style="517"/>
    <col min="13827" max="13827" width="52.5546875" style="517" bestFit="1" customWidth="1"/>
    <col min="13828" max="14082" width="8.88671875" style="517"/>
    <col min="14083" max="14083" width="52.5546875" style="517" bestFit="1" customWidth="1"/>
    <col min="14084" max="14338" width="8.88671875" style="517"/>
    <col min="14339" max="14339" width="52.5546875" style="517" bestFit="1" customWidth="1"/>
    <col min="14340" max="14594" width="8.88671875" style="517"/>
    <col min="14595" max="14595" width="52.5546875" style="517" bestFit="1" customWidth="1"/>
    <col min="14596" max="14850" width="8.88671875" style="517"/>
    <col min="14851" max="14851" width="52.5546875" style="517" bestFit="1" customWidth="1"/>
    <col min="14852" max="15106" width="8.88671875" style="517"/>
    <col min="15107" max="15107" width="52.5546875" style="517" bestFit="1" customWidth="1"/>
    <col min="15108" max="15362" width="8.88671875" style="517"/>
    <col min="15363" max="15363" width="52.5546875" style="517" bestFit="1" customWidth="1"/>
    <col min="15364" max="15618" width="8.88671875" style="517"/>
    <col min="15619" max="15619" width="52.5546875" style="517" bestFit="1" customWidth="1"/>
    <col min="15620" max="15874" width="8.88671875" style="517"/>
    <col min="15875" max="15875" width="52.5546875" style="517" bestFit="1" customWidth="1"/>
    <col min="15876" max="16130" width="8.88671875" style="517"/>
    <col min="16131" max="16131" width="52.5546875" style="517" bestFit="1" customWidth="1"/>
    <col min="16132" max="16384" width="8.88671875" style="517"/>
  </cols>
  <sheetData>
    <row r="1" spans="1:31" s="417" customFormat="1" ht="17.399999999999999" x14ac:dyDescent="0.3">
      <c r="A1" s="414" t="s">
        <v>4648</v>
      </c>
      <c r="B1" s="416"/>
      <c r="C1" s="416"/>
      <c r="D1" s="416"/>
      <c r="AE1" s="49"/>
    </row>
    <row r="2" spans="1:31" s="417" customFormat="1" ht="15.6" x14ac:dyDescent="0.3">
      <c r="A2" s="418" t="s">
        <v>65</v>
      </c>
      <c r="B2" s="419" t="s">
        <v>66</v>
      </c>
      <c r="C2" s="416"/>
      <c r="D2" s="416"/>
      <c r="AE2" s="49"/>
    </row>
    <row r="3" spans="1:31" s="417" customFormat="1" ht="15.6" x14ac:dyDescent="0.3">
      <c r="A3" s="418" t="s">
        <v>67</v>
      </c>
      <c r="B3" s="418" t="s">
        <v>68</v>
      </c>
      <c r="C3" s="416"/>
      <c r="D3" s="416"/>
      <c r="AE3" s="49"/>
    </row>
    <row r="4" spans="1:31" s="417" customFormat="1" ht="48.75" customHeight="1" x14ac:dyDescent="0.3">
      <c r="A4" s="418" t="s">
        <v>69</v>
      </c>
      <c r="B4" s="420"/>
      <c r="C4" s="416"/>
      <c r="D4" s="416"/>
      <c r="E4" s="416"/>
      <c r="F4" s="416"/>
      <c r="G4" s="416"/>
      <c r="H4" s="416"/>
      <c r="I4" s="421"/>
      <c r="AE4" s="49"/>
    </row>
    <row r="5" spans="1:31" ht="18" customHeight="1" x14ac:dyDescent="0.3">
      <c r="A5" s="416" t="s">
        <v>70</v>
      </c>
      <c r="B5" s="586"/>
      <c r="C5" s="416"/>
      <c r="D5" s="423"/>
    </row>
    <row r="6" spans="1:31" ht="18" customHeight="1" x14ac:dyDescent="0.3">
      <c r="A6" s="416" t="s">
        <v>73</v>
      </c>
      <c r="B6" s="424"/>
      <c r="C6" s="416"/>
      <c r="D6" s="425"/>
    </row>
    <row r="7" spans="1:31" s="416" customFormat="1" ht="16.5" customHeight="1" thickBot="1" x14ac:dyDescent="0.35">
      <c r="A7" s="517"/>
      <c r="B7" s="517"/>
      <c r="C7" s="517"/>
      <c r="D7" s="517"/>
    </row>
    <row r="8" spans="1:31" ht="28.5" customHeight="1" thickBot="1" x14ac:dyDescent="0.35">
      <c r="B8" s="426" t="s">
        <v>76</v>
      </c>
      <c r="N8" s="620" t="s">
        <v>77</v>
      </c>
      <c r="O8" s="621"/>
    </row>
    <row r="9" spans="1:31" ht="70.5" customHeight="1" thickBot="1" x14ac:dyDescent="0.35">
      <c r="A9" s="622" t="s">
        <v>78</v>
      </c>
      <c r="B9" s="623"/>
      <c r="C9" s="623"/>
      <c r="D9" s="623"/>
      <c r="E9" s="623"/>
      <c r="F9" s="624"/>
      <c r="G9" s="625" t="s">
        <v>79</v>
      </c>
      <c r="H9" s="626"/>
      <c r="I9" s="626"/>
      <c r="J9" s="626"/>
      <c r="K9" s="626"/>
      <c r="L9" s="626"/>
      <c r="M9" s="627"/>
      <c r="N9" s="428" t="s">
        <v>80</v>
      </c>
      <c r="O9" s="429" t="s">
        <v>81</v>
      </c>
    </row>
    <row r="10" spans="1:31" ht="54.75" customHeight="1" x14ac:dyDescent="0.3">
      <c r="A10" s="587" t="s">
        <v>85</v>
      </c>
      <c r="B10" s="587" t="s">
        <v>86</v>
      </c>
      <c r="C10" s="587"/>
      <c r="D10" s="587" t="s">
        <v>87</v>
      </c>
      <c r="E10" s="588" t="s">
        <v>88</v>
      </c>
      <c r="F10" s="589" t="s">
        <v>89</v>
      </c>
      <c r="G10" s="521">
        <v>2024</v>
      </c>
      <c r="H10" s="521">
        <v>2025</v>
      </c>
      <c r="I10" s="521">
        <v>2026</v>
      </c>
      <c r="J10" s="521">
        <v>2027</v>
      </c>
      <c r="K10" s="521">
        <v>2028</v>
      </c>
      <c r="L10" s="522" t="s">
        <v>90</v>
      </c>
      <c r="M10" s="521" t="s">
        <v>15</v>
      </c>
      <c r="N10" s="521"/>
      <c r="O10" s="521"/>
    </row>
    <row r="11" spans="1:31" x14ac:dyDescent="0.3">
      <c r="A11" s="523" t="s">
        <v>91</v>
      </c>
      <c r="B11" s="523" t="s">
        <v>92</v>
      </c>
      <c r="C11" s="524"/>
      <c r="D11" s="525" t="s">
        <v>93</v>
      </c>
      <c r="E11" s="526">
        <v>2</v>
      </c>
      <c r="F11" s="64">
        <v>3.8199999999999998E-2</v>
      </c>
      <c r="G11" s="527">
        <v>2007423</v>
      </c>
      <c r="H11" s="527">
        <v>1505567.25</v>
      </c>
      <c r="I11" s="527">
        <v>0</v>
      </c>
      <c r="J11" s="527">
        <v>0</v>
      </c>
      <c r="K11" s="527">
        <v>0</v>
      </c>
      <c r="L11" s="527">
        <v>0</v>
      </c>
      <c r="M11" s="528">
        <f>SUM(G11:L11)</f>
        <v>3512990.25</v>
      </c>
      <c r="N11" s="526">
        <v>0</v>
      </c>
      <c r="O11" s="526">
        <v>0</v>
      </c>
    </row>
    <row r="12" spans="1:31" x14ac:dyDescent="0.3">
      <c r="A12" s="523" t="s">
        <v>91</v>
      </c>
      <c r="B12" s="529" t="s">
        <v>94</v>
      </c>
      <c r="C12" s="524"/>
      <c r="D12" s="524" t="s">
        <v>95</v>
      </c>
      <c r="E12" s="526">
        <v>12.25</v>
      </c>
      <c r="F12" s="64">
        <v>4.3099999999999999E-2</v>
      </c>
      <c r="G12" s="527">
        <v>39961.80000000001</v>
      </c>
      <c r="H12" s="527">
        <v>41560.19999999999</v>
      </c>
      <c r="I12" s="527">
        <v>43222.68</v>
      </c>
      <c r="J12" s="527">
        <v>44951.519999999997</v>
      </c>
      <c r="K12" s="527">
        <v>46749.600000000006</v>
      </c>
      <c r="L12" s="527">
        <v>384011.99999999977</v>
      </c>
      <c r="M12" s="528">
        <f t="shared" ref="M12:M15" si="0">SUM(G12:L12)</f>
        <v>600457.79999999981</v>
      </c>
      <c r="N12" s="526">
        <v>14</v>
      </c>
      <c r="O12" s="526">
        <v>0</v>
      </c>
    </row>
    <row r="13" spans="1:31" x14ac:dyDescent="0.3">
      <c r="A13" s="523" t="s">
        <v>91</v>
      </c>
      <c r="B13" s="523" t="s">
        <v>48</v>
      </c>
      <c r="C13" s="530"/>
      <c r="D13" s="530" t="s">
        <v>96</v>
      </c>
      <c r="E13" s="526">
        <v>62.5</v>
      </c>
      <c r="F13" s="64">
        <v>4.4600000000000001E-2</v>
      </c>
      <c r="G13" s="527">
        <v>181687.69499999995</v>
      </c>
      <c r="H13" s="527">
        <v>181687.69499999995</v>
      </c>
      <c r="I13" s="527">
        <v>181687.69499999995</v>
      </c>
      <c r="J13" s="527">
        <v>202127.56068749999</v>
      </c>
      <c r="K13" s="527">
        <v>208940.84925</v>
      </c>
      <c r="L13" s="527">
        <v>29140655.43653943</v>
      </c>
      <c r="M13" s="528">
        <f t="shared" si="0"/>
        <v>30096786.931476928</v>
      </c>
      <c r="N13" s="526">
        <v>65</v>
      </c>
      <c r="O13" s="526">
        <v>0</v>
      </c>
    </row>
    <row r="14" spans="1:31" x14ac:dyDescent="0.3">
      <c r="A14" s="523" t="s">
        <v>91</v>
      </c>
      <c r="B14" s="529" t="s">
        <v>48</v>
      </c>
      <c r="C14" s="530"/>
      <c r="D14" s="530" t="s">
        <v>97</v>
      </c>
      <c r="E14" s="526">
        <v>26.416666666666668</v>
      </c>
      <c r="F14" s="64">
        <v>4.4600000000000001E-2</v>
      </c>
      <c r="G14" s="527">
        <v>580982.1699735889</v>
      </c>
      <c r="H14" s="527">
        <v>591439.84903311345</v>
      </c>
      <c r="I14" s="527">
        <v>602085.76631570957</v>
      </c>
      <c r="J14" s="527">
        <v>612923.31010939227</v>
      </c>
      <c r="K14" s="527">
        <v>623955.92969136138</v>
      </c>
      <c r="L14" s="527">
        <v>16189850.405255713</v>
      </c>
      <c r="M14" s="528">
        <f t="shared" si="0"/>
        <v>19201237.430378877</v>
      </c>
      <c r="N14" s="526">
        <v>0</v>
      </c>
      <c r="O14" s="526">
        <v>0</v>
      </c>
    </row>
    <row r="15" spans="1:31" x14ac:dyDescent="0.3">
      <c r="A15" s="523" t="s">
        <v>91</v>
      </c>
      <c r="B15" s="529" t="s">
        <v>48</v>
      </c>
      <c r="C15" s="530"/>
      <c r="D15" s="530" t="s">
        <v>4661</v>
      </c>
      <c r="E15" s="526">
        <v>34.916666666666664</v>
      </c>
      <c r="F15" s="531">
        <v>5.5300000000000002E-2</v>
      </c>
      <c r="G15" s="527">
        <v>442138.9</v>
      </c>
      <c r="H15" s="527">
        <v>459824.45600000006</v>
      </c>
      <c r="I15" s="527">
        <v>478217.43423999997</v>
      </c>
      <c r="J15" s="527">
        <v>497346.13160959998</v>
      </c>
      <c r="K15" s="527">
        <v>517239.97687398398</v>
      </c>
      <c r="L15" s="527">
        <v>29154940.796525277</v>
      </c>
      <c r="M15" s="528">
        <f t="shared" si="0"/>
        <v>31549707.695248861</v>
      </c>
      <c r="N15" s="526">
        <v>0</v>
      </c>
      <c r="O15" s="526">
        <v>0</v>
      </c>
    </row>
    <row r="16" spans="1:31" ht="14.4" customHeight="1" x14ac:dyDescent="0.3">
      <c r="A16" s="532"/>
      <c r="B16" s="532"/>
      <c r="C16" s="533"/>
      <c r="D16" s="533"/>
      <c r="E16" s="532"/>
      <c r="F16" s="532"/>
      <c r="G16" s="528"/>
      <c r="H16" s="528"/>
      <c r="I16" s="528"/>
      <c r="J16" s="528"/>
      <c r="K16" s="528"/>
      <c r="L16" s="528"/>
      <c r="M16" s="528"/>
      <c r="N16" s="532"/>
      <c r="O16" s="532"/>
    </row>
    <row r="17" spans="1:31" s="434" customFormat="1" ht="30.75" customHeight="1" x14ac:dyDescent="0.3">
      <c r="A17" s="431"/>
      <c r="B17" s="431"/>
      <c r="C17" s="431" t="s">
        <v>99</v>
      </c>
      <c r="D17" s="431"/>
      <c r="E17" s="431"/>
      <c r="F17" s="431"/>
      <c r="G17" s="534">
        <f>SUM(G11:G15)</f>
        <v>3252193.564973589</v>
      </c>
      <c r="H17" s="534">
        <f t="shared" ref="H17:M17" si="1">SUM(H11:H15)</f>
        <v>2780079.4500331138</v>
      </c>
      <c r="I17" s="534">
        <f t="shared" si="1"/>
        <v>1305213.5755557097</v>
      </c>
      <c r="J17" s="534">
        <f t="shared" si="1"/>
        <v>1357348.5224064921</v>
      </c>
      <c r="K17" s="534">
        <f t="shared" si="1"/>
        <v>1396886.3558153454</v>
      </c>
      <c r="L17" s="534">
        <f t="shared" si="1"/>
        <v>74869458.638320416</v>
      </c>
      <c r="M17" s="534">
        <f t="shared" si="1"/>
        <v>84961180.107104659</v>
      </c>
      <c r="N17" s="431"/>
      <c r="O17" s="431"/>
      <c r="R17" s="73"/>
      <c r="AE17" s="74"/>
    </row>
    <row r="19" spans="1:31" x14ac:dyDescent="0.3">
      <c r="B19" s="535"/>
      <c r="N19" s="536"/>
      <c r="O19" s="536"/>
    </row>
    <row r="20" spans="1:31" x14ac:dyDescent="0.3">
      <c r="N20" s="537"/>
    </row>
    <row r="21" spans="1:31" x14ac:dyDescent="0.3">
      <c r="N21" s="537"/>
    </row>
    <row r="22" spans="1:31" x14ac:dyDescent="0.3">
      <c r="N22" s="537"/>
    </row>
    <row r="23" spans="1:31" x14ac:dyDescent="0.3">
      <c r="N23" s="537"/>
    </row>
    <row r="24" spans="1:31" x14ac:dyDescent="0.3">
      <c r="N24" s="537"/>
    </row>
    <row r="25" spans="1:31" x14ac:dyDescent="0.3">
      <c r="N25" s="537"/>
    </row>
    <row r="26" spans="1:31" x14ac:dyDescent="0.3">
      <c r="N26" s="537"/>
    </row>
    <row r="27" spans="1:31" x14ac:dyDescent="0.3">
      <c r="N27" s="537"/>
    </row>
  </sheetData>
  <mergeCells count="3">
    <mergeCell ref="N8:O8"/>
    <mergeCell ref="A9:F9"/>
    <mergeCell ref="G9:M9"/>
  </mergeCells>
  <conditionalFormatting sqref="B3">
    <cfRule type="containsText" dxfId="3" priority="3" operator="containsText" text="***Select***">
      <formula>NOT(ISERROR(SEARCH("***Select***",B3)))</formula>
    </cfRule>
    <cfRule type="containsText" dxfId="2" priority="4" operator="containsText" text="***Select***">
      <formula>NOT(ISERROR(SEARCH("***Select***",B3)))</formula>
    </cfRule>
  </conditionalFormatting>
  <conditionalFormatting sqref="B3:B4">
    <cfRule type="containsText" dxfId="1" priority="1" operator="containsText" text="***Select***">
      <formula>NOT(ISERROR(SEARCH("***Select***",B3)))</formula>
    </cfRule>
    <cfRule type="containsText" dxfId="0" priority="2" operator="containsText" text="***Select***">
      <formula>NOT(ISERROR(SEARCH("***Select***",B3)))</formula>
    </cfRule>
  </conditionalFormatting>
  <pageMargins left="0.7" right="0.7" top="0.75" bottom="0.75" header="0.3" footer="0.3"/>
  <pageSetup paperSize="5" scale="5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C286-48FF-46F5-948F-82175E3DCE39}">
  <sheetPr>
    <pageSetUpPr fitToPage="1"/>
  </sheetPr>
  <dimension ref="A1:AH71"/>
  <sheetViews>
    <sheetView zoomScale="70" zoomScaleNormal="70" workbookViewId="0">
      <selection activeCell="L17" sqref="L17"/>
    </sheetView>
  </sheetViews>
  <sheetFormatPr defaultRowHeight="14.4" x14ac:dyDescent="0.3"/>
  <cols>
    <col min="1" max="1" width="18.33203125" style="309" customWidth="1"/>
    <col min="2" max="2" width="52.6640625" style="309" bestFit="1" customWidth="1"/>
    <col min="3" max="3" width="15.109375" style="309" customWidth="1"/>
    <col min="4" max="4" width="28.44140625" style="309" customWidth="1"/>
    <col min="5" max="5" width="11.6640625" style="309" customWidth="1"/>
    <col min="6" max="6" width="14.6640625" style="309" bestFit="1" customWidth="1"/>
    <col min="7" max="7" width="14.109375" style="309" bestFit="1" customWidth="1"/>
    <col min="8" max="8" width="13.33203125" style="309" customWidth="1"/>
    <col min="9" max="9" width="13.33203125" style="309" bestFit="1" customWidth="1"/>
    <col min="10" max="10" width="13.44140625" style="309" bestFit="1" customWidth="1"/>
    <col min="11" max="11" width="13.33203125" style="309" bestFit="1" customWidth="1"/>
    <col min="12" max="12" width="14.44140625" style="309" bestFit="1" customWidth="1"/>
    <col min="13" max="13" width="14.33203125" style="309" bestFit="1" customWidth="1"/>
    <col min="14" max="14" width="21.88671875" style="309" customWidth="1"/>
    <col min="15" max="15" width="14" style="309" customWidth="1"/>
    <col min="16" max="16" width="15.44140625" style="309" bestFit="1" customWidth="1"/>
    <col min="17" max="17" width="10.6640625" style="309" customWidth="1"/>
    <col min="18" max="18" width="16.6640625" style="309" customWidth="1"/>
    <col min="19" max="19" width="14.88671875" style="309" customWidth="1"/>
    <col min="20" max="20" width="10.109375" style="309" bestFit="1" customWidth="1"/>
    <col min="21" max="21" width="32.5546875" style="309" bestFit="1" customWidth="1"/>
    <col min="22" max="23" width="10.6640625" style="309" customWidth="1"/>
    <col min="24" max="24" width="10.88671875" style="309" customWidth="1"/>
    <col min="25" max="29" width="12.44140625" style="309" bestFit="1" customWidth="1"/>
    <col min="30" max="31" width="15.33203125" style="309" bestFit="1" customWidth="1"/>
    <col min="32" max="32" width="12.44140625" style="309" customWidth="1"/>
    <col min="33" max="33" width="15.109375" style="309" customWidth="1"/>
    <col min="34" max="34" width="8.88671875" style="56"/>
    <col min="35" max="35" width="9.88671875" style="309" customWidth="1"/>
    <col min="36" max="36" width="11.6640625" style="309" customWidth="1"/>
    <col min="37" max="261" width="8.88671875" style="309"/>
    <col min="262" max="262" width="52.5546875" style="309" bestFit="1" customWidth="1"/>
    <col min="263" max="517" width="8.88671875" style="309"/>
    <col min="518" max="518" width="52.5546875" style="309" bestFit="1" customWidth="1"/>
    <col min="519" max="773" width="8.88671875" style="309"/>
    <col min="774" max="774" width="52.5546875" style="309" bestFit="1" customWidth="1"/>
    <col min="775" max="1029" width="8.88671875" style="309"/>
    <col min="1030" max="1030" width="52.5546875" style="309" bestFit="1" customWidth="1"/>
    <col min="1031" max="1285" width="8.88671875" style="309"/>
    <col min="1286" max="1286" width="52.5546875" style="309" bestFit="1" customWidth="1"/>
    <col min="1287" max="1541" width="8.88671875" style="309"/>
    <col min="1542" max="1542" width="52.5546875" style="309" bestFit="1" customWidth="1"/>
    <col min="1543" max="1797" width="8.88671875" style="309"/>
    <col min="1798" max="1798" width="52.5546875" style="309" bestFit="1" customWidth="1"/>
    <col min="1799" max="2053" width="8.88671875" style="309"/>
    <col min="2054" max="2054" width="52.5546875" style="309" bestFit="1" customWidth="1"/>
    <col min="2055" max="2309" width="8.88671875" style="309"/>
    <col min="2310" max="2310" width="52.5546875" style="309" bestFit="1" customWidth="1"/>
    <col min="2311" max="2565" width="8.88671875" style="309"/>
    <col min="2566" max="2566" width="52.5546875" style="309" bestFit="1" customWidth="1"/>
    <col min="2567" max="2821" width="8.88671875" style="309"/>
    <col min="2822" max="2822" width="52.5546875" style="309" bestFit="1" customWidth="1"/>
    <col min="2823" max="3077" width="8.88671875" style="309"/>
    <col min="3078" max="3078" width="52.5546875" style="309" bestFit="1" customWidth="1"/>
    <col min="3079" max="3333" width="8.88671875" style="309"/>
    <col min="3334" max="3334" width="52.5546875" style="309" bestFit="1" customWidth="1"/>
    <col min="3335" max="3589" width="8.88671875" style="309"/>
    <col min="3590" max="3590" width="52.5546875" style="309" bestFit="1" customWidth="1"/>
    <col min="3591" max="3845" width="8.88671875" style="309"/>
    <col min="3846" max="3846" width="52.5546875" style="309" bestFit="1" customWidth="1"/>
    <col min="3847" max="4101" width="8.88671875" style="309"/>
    <col min="4102" max="4102" width="52.5546875" style="309" bestFit="1" customWidth="1"/>
    <col min="4103" max="4357" width="8.88671875" style="309"/>
    <col min="4358" max="4358" width="52.5546875" style="309" bestFit="1" customWidth="1"/>
    <col min="4359" max="4613" width="8.88671875" style="309"/>
    <col min="4614" max="4614" width="52.5546875" style="309" bestFit="1" customWidth="1"/>
    <col min="4615" max="4869" width="8.88671875" style="309"/>
    <col min="4870" max="4870" width="52.5546875" style="309" bestFit="1" customWidth="1"/>
    <col min="4871" max="5125" width="8.88671875" style="309"/>
    <col min="5126" max="5126" width="52.5546875" style="309" bestFit="1" customWidth="1"/>
    <col min="5127" max="5381" width="8.88671875" style="309"/>
    <col min="5382" max="5382" width="52.5546875" style="309" bestFit="1" customWidth="1"/>
    <col min="5383" max="5637" width="8.88671875" style="309"/>
    <col min="5638" max="5638" width="52.5546875" style="309" bestFit="1" customWidth="1"/>
    <col min="5639" max="5893" width="8.88671875" style="309"/>
    <col min="5894" max="5894" width="52.5546875" style="309" bestFit="1" customWidth="1"/>
    <col min="5895" max="6149" width="8.88671875" style="309"/>
    <col min="6150" max="6150" width="52.5546875" style="309" bestFit="1" customWidth="1"/>
    <col min="6151" max="6405" width="8.88671875" style="309"/>
    <col min="6406" max="6406" width="52.5546875" style="309" bestFit="1" customWidth="1"/>
    <col min="6407" max="6661" width="8.88671875" style="309"/>
    <col min="6662" max="6662" width="52.5546875" style="309" bestFit="1" customWidth="1"/>
    <col min="6663" max="6917" width="8.88671875" style="309"/>
    <col min="6918" max="6918" width="52.5546875" style="309" bestFit="1" customWidth="1"/>
    <col min="6919" max="7173" width="8.88671875" style="309"/>
    <col min="7174" max="7174" width="52.5546875" style="309" bestFit="1" customWidth="1"/>
    <col min="7175" max="7429" width="8.88671875" style="309"/>
    <col min="7430" max="7430" width="52.5546875" style="309" bestFit="1" customWidth="1"/>
    <col min="7431" max="7685" width="8.88671875" style="309"/>
    <col min="7686" max="7686" width="52.5546875" style="309" bestFit="1" customWidth="1"/>
    <col min="7687" max="7941" width="8.88671875" style="309"/>
    <col min="7942" max="7942" width="52.5546875" style="309" bestFit="1" customWidth="1"/>
    <col min="7943" max="8197" width="8.88671875" style="309"/>
    <col min="8198" max="8198" width="52.5546875" style="309" bestFit="1" customWidth="1"/>
    <col min="8199" max="8453" width="8.88671875" style="309"/>
    <col min="8454" max="8454" width="52.5546875" style="309" bestFit="1" customWidth="1"/>
    <col min="8455" max="8709" width="8.88671875" style="309"/>
    <col min="8710" max="8710" width="52.5546875" style="309" bestFit="1" customWidth="1"/>
    <col min="8711" max="8965" width="8.88671875" style="309"/>
    <col min="8966" max="8966" width="52.5546875" style="309" bestFit="1" customWidth="1"/>
    <col min="8967" max="9221" width="8.88671875" style="309"/>
    <col min="9222" max="9222" width="52.5546875" style="309" bestFit="1" customWidth="1"/>
    <col min="9223" max="9477" width="8.88671875" style="309"/>
    <col min="9478" max="9478" width="52.5546875" style="309" bestFit="1" customWidth="1"/>
    <col min="9479" max="9733" width="8.88671875" style="309"/>
    <col min="9734" max="9734" width="52.5546875" style="309" bestFit="1" customWidth="1"/>
    <col min="9735" max="9989" width="8.88671875" style="309"/>
    <col min="9990" max="9990" width="52.5546875" style="309" bestFit="1" customWidth="1"/>
    <col min="9991" max="10245" width="8.88671875" style="309"/>
    <col min="10246" max="10246" width="52.5546875" style="309" bestFit="1" customWidth="1"/>
    <col min="10247" max="10501" width="8.88671875" style="309"/>
    <col min="10502" max="10502" width="52.5546875" style="309" bestFit="1" customWidth="1"/>
    <col min="10503" max="10757" width="8.88671875" style="309"/>
    <col min="10758" max="10758" width="52.5546875" style="309" bestFit="1" customWidth="1"/>
    <col min="10759" max="11013" width="8.88671875" style="309"/>
    <col min="11014" max="11014" width="52.5546875" style="309" bestFit="1" customWidth="1"/>
    <col min="11015" max="11269" width="8.88671875" style="309"/>
    <col min="11270" max="11270" width="52.5546875" style="309" bestFit="1" customWidth="1"/>
    <col min="11271" max="11525" width="8.88671875" style="309"/>
    <col min="11526" max="11526" width="52.5546875" style="309" bestFit="1" customWidth="1"/>
    <col min="11527" max="11781" width="8.88671875" style="309"/>
    <col min="11782" max="11782" width="52.5546875" style="309" bestFit="1" customWidth="1"/>
    <col min="11783" max="12037" width="8.88671875" style="309"/>
    <col min="12038" max="12038" width="52.5546875" style="309" bestFit="1" customWidth="1"/>
    <col min="12039" max="12293" width="8.88671875" style="309"/>
    <col min="12294" max="12294" width="52.5546875" style="309" bestFit="1" customWidth="1"/>
    <col min="12295" max="12549" width="8.88671875" style="309"/>
    <col min="12550" max="12550" width="52.5546875" style="309" bestFit="1" customWidth="1"/>
    <col min="12551" max="12805" width="8.88671875" style="309"/>
    <col min="12806" max="12806" width="52.5546875" style="309" bestFit="1" customWidth="1"/>
    <col min="12807" max="13061" width="8.88671875" style="309"/>
    <col min="13062" max="13062" width="52.5546875" style="309" bestFit="1" customWidth="1"/>
    <col min="13063" max="13317" width="8.88671875" style="309"/>
    <col min="13318" max="13318" width="52.5546875" style="309" bestFit="1" customWidth="1"/>
    <col min="13319" max="13573" width="8.88671875" style="309"/>
    <col min="13574" max="13574" width="52.5546875" style="309" bestFit="1" customWidth="1"/>
    <col min="13575" max="13829" width="8.88671875" style="309"/>
    <col min="13830" max="13830" width="52.5546875" style="309" bestFit="1" customWidth="1"/>
    <col min="13831" max="14085" width="8.88671875" style="309"/>
    <col min="14086" max="14086" width="52.5546875" style="309" bestFit="1" customWidth="1"/>
    <col min="14087" max="14341" width="8.88671875" style="309"/>
    <col min="14342" max="14342" width="52.5546875" style="309" bestFit="1" customWidth="1"/>
    <col min="14343" max="14597" width="8.88671875" style="309"/>
    <col min="14598" max="14598" width="52.5546875" style="309" bestFit="1" customWidth="1"/>
    <col min="14599" max="14853" width="8.88671875" style="309"/>
    <col min="14854" max="14854" width="52.5546875" style="309" bestFit="1" customWidth="1"/>
    <col min="14855" max="15109" width="8.88671875" style="309"/>
    <col min="15110" max="15110" width="52.5546875" style="309" bestFit="1" customWidth="1"/>
    <col min="15111" max="15365" width="8.88671875" style="309"/>
    <col min="15366" max="15366" width="52.5546875" style="309" bestFit="1" customWidth="1"/>
    <col min="15367" max="15621" width="8.88671875" style="309"/>
    <col min="15622" max="15622" width="52.5546875" style="309" bestFit="1" customWidth="1"/>
    <col min="15623" max="15877" width="8.88671875" style="309"/>
    <col min="15878" max="15878" width="52.5546875" style="309" bestFit="1" customWidth="1"/>
    <col min="15879" max="16133" width="8.88671875" style="309"/>
    <col min="16134" max="16134" width="52.5546875" style="309" bestFit="1" customWidth="1"/>
    <col min="16135" max="16384" width="8.88671875" style="309"/>
  </cols>
  <sheetData>
    <row r="1" spans="1:34" s="48" customFormat="1" ht="17.399999999999999" x14ac:dyDescent="0.3">
      <c r="A1" s="47" t="s">
        <v>64</v>
      </c>
      <c r="B1"/>
      <c r="C1"/>
      <c r="D1"/>
      <c r="AH1" s="49"/>
    </row>
    <row r="2" spans="1:34" s="48" customFormat="1" ht="15.6" x14ac:dyDescent="0.3">
      <c r="A2" s="50" t="s">
        <v>65</v>
      </c>
      <c r="B2" s="51" t="s">
        <v>66</v>
      </c>
      <c r="C2"/>
      <c r="D2"/>
      <c r="AH2" s="49"/>
    </row>
    <row r="3" spans="1:34" s="48" customFormat="1" ht="15.6" x14ac:dyDescent="0.3">
      <c r="A3" s="50" t="s">
        <v>67</v>
      </c>
      <c r="B3" s="50" t="s">
        <v>68</v>
      </c>
      <c r="C3"/>
      <c r="D3"/>
      <c r="AH3" s="49"/>
    </row>
    <row r="4" spans="1:34" s="48" customFormat="1" ht="48.75" customHeight="1" x14ac:dyDescent="0.3">
      <c r="A4" s="50" t="s">
        <v>69</v>
      </c>
      <c r="B4" s="52"/>
      <c r="C4"/>
      <c r="D4"/>
      <c r="E4"/>
      <c r="F4"/>
      <c r="G4"/>
      <c r="H4"/>
      <c r="I4" s="53"/>
      <c r="AH4" s="49"/>
    </row>
    <row r="5" spans="1:34" ht="18" customHeight="1" x14ac:dyDescent="0.3">
      <c r="A5" t="s">
        <v>70</v>
      </c>
      <c r="B5" s="54" t="s">
        <v>71</v>
      </c>
      <c r="C5" t="s">
        <v>72</v>
      </c>
      <c r="D5" s="55">
        <v>44208</v>
      </c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</row>
    <row r="6" spans="1:34" customFormat="1" ht="16.5" customHeight="1" thickBot="1" x14ac:dyDescent="0.3">
      <c r="A6" t="s">
        <v>73</v>
      </c>
      <c r="B6" s="57" t="s">
        <v>74</v>
      </c>
      <c r="C6" t="s">
        <v>75</v>
      </c>
      <c r="D6" s="58"/>
    </row>
    <row r="7" spans="1:34" ht="28.5" customHeight="1" thickBot="1" x14ac:dyDescent="0.35">
      <c r="A7" s="544"/>
      <c r="B7" s="59" t="s">
        <v>76</v>
      </c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91" t="s">
        <v>77</v>
      </c>
      <c r="O7" s="592"/>
      <c r="P7" s="60"/>
      <c r="Q7" s="60"/>
      <c r="R7" s="60"/>
      <c r="S7" s="544"/>
      <c r="T7" s="544"/>
      <c r="U7" s="544"/>
      <c r="V7" s="544"/>
      <c r="W7" s="544"/>
      <c r="X7" s="544"/>
      <c r="Y7" s="544"/>
      <c r="Z7" s="544"/>
      <c r="AA7" s="544"/>
      <c r="AB7" s="544"/>
      <c r="AC7" s="544"/>
      <c r="AD7" s="544"/>
      <c r="AE7" s="544"/>
      <c r="AF7" s="544"/>
      <c r="AG7" s="544"/>
    </row>
    <row r="8" spans="1:34" ht="70.5" customHeight="1" thickBot="1" x14ac:dyDescent="0.35">
      <c r="A8" s="593" t="s">
        <v>78</v>
      </c>
      <c r="B8" s="594"/>
      <c r="C8" s="594"/>
      <c r="D8" s="594"/>
      <c r="E8" s="594"/>
      <c r="F8" s="595"/>
      <c r="G8" s="596" t="s">
        <v>79</v>
      </c>
      <c r="H8" s="597"/>
      <c r="I8" s="597"/>
      <c r="J8" s="597"/>
      <c r="K8" s="597"/>
      <c r="L8" s="597"/>
      <c r="M8" s="598"/>
      <c r="N8" s="61" t="s">
        <v>80</v>
      </c>
      <c r="O8" s="62" t="s">
        <v>81</v>
      </c>
      <c r="P8" s="62" t="s">
        <v>82</v>
      </c>
      <c r="Q8" s="62" t="s">
        <v>83</v>
      </c>
      <c r="R8" s="62" t="s">
        <v>84</v>
      </c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544"/>
      <c r="AE8" s="544"/>
      <c r="AF8" s="544"/>
      <c r="AG8" s="544"/>
    </row>
    <row r="9" spans="1:34" ht="54.75" customHeight="1" x14ac:dyDescent="0.3">
      <c r="A9" s="545" t="s">
        <v>85</v>
      </c>
      <c r="B9" s="545" t="s">
        <v>86</v>
      </c>
      <c r="C9" s="545"/>
      <c r="D9" s="545" t="s">
        <v>87</v>
      </c>
      <c r="E9" s="546" t="s">
        <v>88</v>
      </c>
      <c r="F9" s="547" t="s">
        <v>89</v>
      </c>
      <c r="G9" s="548">
        <v>2021</v>
      </c>
      <c r="H9" s="548">
        <v>2022</v>
      </c>
      <c r="I9" s="548">
        <v>2023</v>
      </c>
      <c r="J9" s="548">
        <v>2024</v>
      </c>
      <c r="K9" s="548">
        <v>2025</v>
      </c>
      <c r="L9" s="549" t="s">
        <v>90</v>
      </c>
      <c r="M9" s="548" t="s">
        <v>15</v>
      </c>
      <c r="N9" s="548"/>
      <c r="O9" s="548"/>
      <c r="P9" s="63"/>
      <c r="Q9" s="548"/>
      <c r="R9" s="548"/>
      <c r="S9" s="544"/>
      <c r="T9" s="544"/>
      <c r="U9" s="544"/>
      <c r="V9" s="544"/>
      <c r="W9" s="544"/>
      <c r="X9" s="544"/>
      <c r="Y9" s="544"/>
      <c r="Z9" s="544"/>
      <c r="AA9" s="544"/>
      <c r="AB9" s="544"/>
      <c r="AC9" s="544"/>
      <c r="AD9" s="544"/>
      <c r="AE9" s="544"/>
      <c r="AF9" s="544"/>
      <c r="AG9" s="544"/>
    </row>
    <row r="10" spans="1:34" x14ac:dyDescent="0.3">
      <c r="A10" s="550" t="s">
        <v>91</v>
      </c>
      <c r="B10" s="550" t="s">
        <v>92</v>
      </c>
      <c r="C10" s="551"/>
      <c r="D10" s="552" t="s">
        <v>93</v>
      </c>
      <c r="E10" s="526">
        <f>'[15]Remaining Lease Term Calc'!$E$2</f>
        <v>4.75</v>
      </c>
      <c r="F10" s="64">
        <v>3.8199999999999998E-2</v>
      </c>
      <c r="G10" s="527">
        <f>[16]Support!$D$3</f>
        <v>1505567.25</v>
      </c>
      <c r="H10" s="527">
        <f>[16]Support!$E$3</f>
        <v>2007423</v>
      </c>
      <c r="I10" s="527">
        <f>[16]Support!$F$3</f>
        <v>2007423</v>
      </c>
      <c r="J10" s="527">
        <f>[16]Support!$G$3</f>
        <v>2007423</v>
      </c>
      <c r="K10" s="527">
        <f>[16]Support!H3</f>
        <v>1505567.25</v>
      </c>
      <c r="L10" s="527">
        <f>[16]Support!I3</f>
        <v>0</v>
      </c>
      <c r="M10" s="310">
        <f>SUM(G10:L10)</f>
        <v>9033403.5</v>
      </c>
      <c r="N10" s="526">
        <v>0</v>
      </c>
      <c r="O10" s="526">
        <v>0</v>
      </c>
      <c r="P10" s="65">
        <f>+M10/M$17</f>
        <v>0.14719593366187894</v>
      </c>
      <c r="Q10" s="553">
        <f>+P10*E10</f>
        <v>0.69918068489392493</v>
      </c>
      <c r="R10" s="65">
        <f>+P10*F10</f>
        <v>5.6228846658837751E-3</v>
      </c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</row>
    <row r="11" spans="1:34" x14ac:dyDescent="0.3">
      <c r="A11" s="550" t="s">
        <v>91</v>
      </c>
      <c r="B11" s="554" t="s">
        <v>94</v>
      </c>
      <c r="C11" s="551"/>
      <c r="D11" s="551" t="s">
        <v>95</v>
      </c>
      <c r="E11" s="526">
        <f>'[15]Remaining Lease Term Calc'!$E$4</f>
        <v>15</v>
      </c>
      <c r="F11" s="64">
        <v>4.3099999999999999E-2</v>
      </c>
      <c r="G11" s="527">
        <f>[16]Support!$D$4</f>
        <v>35525.87999999999</v>
      </c>
      <c r="H11" s="527">
        <f>[16]Support!$E$4</f>
        <v>36946.92</v>
      </c>
      <c r="I11" s="527">
        <f>[16]Support!$F$4</f>
        <v>38424.720000000001</v>
      </c>
      <c r="J11" s="527">
        <f>[16]Support!$G$4</f>
        <v>39961.80000000001</v>
      </c>
      <c r="K11" s="527">
        <f>[16]Support!$H4</f>
        <v>41560.19999999999</v>
      </c>
      <c r="L11" s="527">
        <f>[16]Support!I4</f>
        <v>518935.80000000005</v>
      </c>
      <c r="M11" s="310">
        <f t="shared" ref="M11:M16" si="0">SUM(G11:L11)</f>
        <v>711355.32000000007</v>
      </c>
      <c r="N11" s="526">
        <v>0</v>
      </c>
      <c r="O11" s="526">
        <v>0</v>
      </c>
      <c r="P11" s="65">
        <f>+M11/M$17</f>
        <v>1.1591269059634575E-2</v>
      </c>
      <c r="Q11" s="553">
        <f>+P11*E11</f>
        <v>0.17386903589451863</v>
      </c>
      <c r="R11" s="65">
        <f>+P11*F11</f>
        <v>4.9958369647025013E-4</v>
      </c>
      <c r="S11" s="544"/>
      <c r="T11" s="544"/>
      <c r="U11" s="544"/>
      <c r="V11" s="544"/>
      <c r="W11" s="544"/>
      <c r="X11" s="544"/>
      <c r="Y11" s="544"/>
      <c r="Z11" s="544"/>
      <c r="AA11" s="544"/>
      <c r="AB11" s="544"/>
      <c r="AC11" s="544"/>
      <c r="AD11" s="544"/>
      <c r="AE11" s="544"/>
      <c r="AF11" s="544"/>
      <c r="AG11" s="544"/>
    </row>
    <row r="12" spans="1:34" x14ac:dyDescent="0.3">
      <c r="A12" s="550" t="s">
        <v>91</v>
      </c>
      <c r="B12" s="550" t="s">
        <v>48</v>
      </c>
      <c r="C12" s="555"/>
      <c r="D12" s="555" t="s">
        <v>96</v>
      </c>
      <c r="E12" s="526">
        <f>'[15]Remaining Lease Term Calc'!$E$3</f>
        <v>65.25</v>
      </c>
      <c r="F12" s="64">
        <v>4.4600000000000001E-2</v>
      </c>
      <c r="G12" s="527">
        <f>[16]Support!$D$5</f>
        <v>157989.29999999996</v>
      </c>
      <c r="H12" s="527">
        <f>[16]Support!$E$5</f>
        <v>175763.09624999997</v>
      </c>
      <c r="I12" s="527">
        <f>[16]Support!$F$5</f>
        <v>181687.69499999995</v>
      </c>
      <c r="J12" s="527">
        <f>[16]Support!$G$5</f>
        <v>181687.69499999995</v>
      </c>
      <c r="K12" s="527">
        <f>[16]Support!$H5</f>
        <v>181687.69499999995</v>
      </c>
      <c r="L12" s="527">
        <f>[16]Support!I5</f>
        <v>29733411.541476905</v>
      </c>
      <c r="M12" s="310">
        <f t="shared" si="0"/>
        <v>30612227.022726905</v>
      </c>
      <c r="N12" s="526">
        <v>0</v>
      </c>
      <c r="O12" s="526">
        <v>0</v>
      </c>
      <c r="P12" s="65">
        <f>+M12/M$17</f>
        <v>0.49881479755439762</v>
      </c>
      <c r="Q12" s="553">
        <f>+P12*E12</f>
        <v>32.547665540424447</v>
      </c>
      <c r="R12" s="65">
        <f>+P12*F12</f>
        <v>2.2247139970926134E-2</v>
      </c>
      <c r="S12" s="544"/>
      <c r="T12" s="544"/>
      <c r="U12" s="544"/>
      <c r="V12" s="544"/>
      <c r="W12" s="544"/>
      <c r="X12" s="544"/>
      <c r="Y12" s="544"/>
      <c r="Z12" s="544"/>
      <c r="AA12" s="544"/>
      <c r="AB12" s="544"/>
      <c r="AC12" s="544"/>
      <c r="AD12" s="544"/>
      <c r="AE12" s="544"/>
      <c r="AF12" s="544"/>
      <c r="AG12" s="544"/>
    </row>
    <row r="13" spans="1:34" x14ac:dyDescent="0.3">
      <c r="A13" s="550" t="s">
        <v>91</v>
      </c>
      <c r="B13" s="554" t="s">
        <v>48</v>
      </c>
      <c r="C13" s="555"/>
      <c r="D13" s="555" t="s">
        <v>97</v>
      </c>
      <c r="E13" s="526">
        <f>'[15]Remaining Lease Term Calc'!$E$5</f>
        <v>29.75</v>
      </c>
      <c r="F13" s="64">
        <v>4.4600000000000001E-2</v>
      </c>
      <c r="G13" s="527">
        <f>[16]Support!$D$6</f>
        <v>550705.57157791441</v>
      </c>
      <c r="H13" s="527">
        <f>[16]Support!$E$6</f>
        <v>560618.27186631679</v>
      </c>
      <c r="I13" s="527">
        <f>[16]Support!$F$6</f>
        <v>570709.40075991047</v>
      </c>
      <c r="J13" s="527">
        <f>[16]Support!$G$6</f>
        <v>580982.1699735889</v>
      </c>
      <c r="K13" s="527">
        <f>[16]Support!$H6</f>
        <v>591439.84903311345</v>
      </c>
      <c r="L13" s="527">
        <f>[16]Support!I6</f>
        <v>18028815.4113722</v>
      </c>
      <c r="M13" s="310">
        <f t="shared" si="0"/>
        <v>20883270.674583044</v>
      </c>
      <c r="N13" s="526">
        <v>0</v>
      </c>
      <c r="O13" s="526">
        <v>0</v>
      </c>
      <c r="P13" s="65">
        <f>+M13/M$17</f>
        <v>0.34028509020536807</v>
      </c>
      <c r="Q13" s="553">
        <f>+P13*E13</f>
        <v>10.123481433609699</v>
      </c>
      <c r="R13" s="65">
        <f>+P13*F13</f>
        <v>1.5176715023159416E-2</v>
      </c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</row>
    <row r="14" spans="1:34" x14ac:dyDescent="0.3">
      <c r="A14" s="550" t="s">
        <v>91</v>
      </c>
      <c r="B14" s="554" t="s">
        <v>92</v>
      </c>
      <c r="C14" s="555"/>
      <c r="D14" s="555" t="s">
        <v>98</v>
      </c>
      <c r="E14" s="526">
        <f>'[15]Remaining Lease Term Calc'!$E$6</f>
        <v>0.83333333333333337</v>
      </c>
      <c r="F14" s="64">
        <v>3.39E-2</v>
      </c>
      <c r="G14" s="527">
        <f>[16]Support!$D$7</f>
        <v>129669.10000000002</v>
      </c>
      <c r="H14" s="527">
        <f>[16]Support!$E$7</f>
        <v>0</v>
      </c>
      <c r="I14" s="527">
        <f>[16]Support!$F$7</f>
        <v>0</v>
      </c>
      <c r="J14" s="527">
        <f>[16]Support!$G$7</f>
        <v>0</v>
      </c>
      <c r="K14" s="527">
        <f>[16]Support!$H7</f>
        <v>0</v>
      </c>
      <c r="L14" s="527">
        <f>[16]Support!I7</f>
        <v>0</v>
      </c>
      <c r="M14" s="310">
        <f>SUM(G14:L14)</f>
        <v>129669.10000000002</v>
      </c>
      <c r="N14" s="526">
        <v>0</v>
      </c>
      <c r="O14" s="526">
        <v>0</v>
      </c>
      <c r="P14" s="65">
        <f>+M14/M$17</f>
        <v>2.1129095187207734E-3</v>
      </c>
      <c r="Q14" s="553">
        <f t="shared" ref="Q14" si="1">+P14*E14</f>
        <v>1.7607579322673113E-3</v>
      </c>
      <c r="R14" s="65">
        <f>+P14*F14</f>
        <v>7.1627632684634213E-5</v>
      </c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</row>
    <row r="15" spans="1:34" x14ac:dyDescent="0.3">
      <c r="A15" s="550"/>
      <c r="B15" s="554"/>
      <c r="C15" s="556"/>
      <c r="D15" s="556"/>
      <c r="E15" s="550"/>
      <c r="F15" s="66"/>
      <c r="G15" s="311"/>
      <c r="H15" s="311"/>
      <c r="I15" s="311"/>
      <c r="J15" s="311"/>
      <c r="K15" s="311"/>
      <c r="L15" s="311"/>
      <c r="M15" s="310"/>
      <c r="N15" s="550"/>
      <c r="O15" s="550"/>
      <c r="P15" s="65"/>
      <c r="Q15" s="557"/>
      <c r="R15" s="65"/>
      <c r="S15" s="544"/>
      <c r="T15" s="544"/>
      <c r="U15" s="544"/>
      <c r="V15" s="544"/>
      <c r="W15" s="544"/>
      <c r="X15" s="544"/>
      <c r="Y15" s="544"/>
      <c r="Z15" s="544"/>
      <c r="AA15" s="544"/>
      <c r="AB15" s="544"/>
      <c r="AC15" s="544"/>
      <c r="AD15" s="544"/>
      <c r="AE15" s="544"/>
      <c r="AF15" s="544"/>
      <c r="AG15" s="544"/>
    </row>
    <row r="16" spans="1:34" ht="14.4" customHeight="1" x14ac:dyDescent="0.3">
      <c r="A16" s="558"/>
      <c r="B16" s="558"/>
      <c r="C16" s="559"/>
      <c r="D16" s="559"/>
      <c r="E16" s="558"/>
      <c r="F16" s="558"/>
      <c r="G16" s="310"/>
      <c r="H16" s="310"/>
      <c r="I16" s="310"/>
      <c r="J16" s="310"/>
      <c r="K16" s="310"/>
      <c r="L16" s="310"/>
      <c r="M16" s="310">
        <f t="shared" si="0"/>
        <v>0</v>
      </c>
      <c r="N16" s="558"/>
      <c r="O16" s="558"/>
      <c r="P16" s="67"/>
      <c r="Q16" s="558"/>
      <c r="R16" s="65"/>
      <c r="S16" s="544"/>
      <c r="T16" s="544"/>
      <c r="U16" s="544"/>
      <c r="V16" s="544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</row>
    <row r="17" spans="1:34" s="72" customFormat="1" ht="30.75" customHeight="1" x14ac:dyDescent="0.3">
      <c r="A17" s="68"/>
      <c r="B17" s="68"/>
      <c r="C17" s="68" t="s">
        <v>99</v>
      </c>
      <c r="D17" s="68"/>
      <c r="E17" s="68"/>
      <c r="F17" s="68"/>
      <c r="G17" s="312">
        <f t="shared" ref="G17:M17" si="2">SUM(G10:G16)</f>
        <v>2379457.1015779143</v>
      </c>
      <c r="H17" s="312">
        <f t="shared" si="2"/>
        <v>2780751.2881163168</v>
      </c>
      <c r="I17" s="312">
        <f t="shared" si="2"/>
        <v>2798244.8157599103</v>
      </c>
      <c r="J17" s="312">
        <f t="shared" si="2"/>
        <v>2810054.6649735891</v>
      </c>
      <c r="K17" s="312">
        <f t="shared" si="2"/>
        <v>2320254.9940331136</v>
      </c>
      <c r="L17" s="312">
        <f t="shared" si="2"/>
        <v>48281162.752849102</v>
      </c>
      <c r="M17" s="312">
        <f t="shared" si="2"/>
        <v>61369925.61730995</v>
      </c>
      <c r="N17" s="68"/>
      <c r="O17" s="68"/>
      <c r="P17" s="69">
        <f>SUM(P10:P16)</f>
        <v>0.99999999999999989</v>
      </c>
      <c r="Q17" s="70">
        <f>SUM(Q10:Q16)</f>
        <v>43.545957452754855</v>
      </c>
      <c r="R17" s="71">
        <f>SUM(R10:R15)</f>
        <v>4.3617950989124202E-2</v>
      </c>
      <c r="U17" s="73"/>
      <c r="AH17" s="74"/>
    </row>
    <row r="18" spans="1:34" x14ac:dyDescent="0.3">
      <c r="A18" s="544"/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6"/>
      <c r="Q18" s="544"/>
      <c r="R18" s="544"/>
      <c r="S18" s="544"/>
      <c r="T18" s="544"/>
      <c r="U18" s="544"/>
      <c r="V18" s="544"/>
      <c r="W18" s="544"/>
      <c r="X18" s="544"/>
      <c r="Y18" s="544"/>
      <c r="Z18" s="544"/>
      <c r="AA18" s="544"/>
      <c r="AB18" s="544"/>
      <c r="AC18" s="544"/>
      <c r="AD18" s="544"/>
      <c r="AE18" s="544"/>
      <c r="AF18" s="544"/>
      <c r="AG18" s="544"/>
    </row>
    <row r="19" spans="1:34" x14ac:dyDescent="0.3">
      <c r="A19" s="544"/>
      <c r="B19" s="560"/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544"/>
      <c r="N19" s="561"/>
      <c r="O19" s="561"/>
      <c r="P19" s="561"/>
      <c r="Q19" s="544"/>
      <c r="R19" s="544"/>
      <c r="S19" s="544"/>
      <c r="T19" s="544"/>
      <c r="U19" s="544"/>
      <c r="V19" s="544"/>
      <c r="W19" s="544"/>
      <c r="X19" s="544"/>
      <c r="Y19" s="544"/>
      <c r="Z19" s="544"/>
      <c r="AA19" s="544"/>
      <c r="AB19" s="544"/>
      <c r="AC19" s="544"/>
      <c r="AD19" s="544"/>
      <c r="AE19" s="544"/>
      <c r="AF19" s="544"/>
      <c r="AG19" s="544"/>
    </row>
    <row r="20" spans="1:34" x14ac:dyDescent="0.3">
      <c r="A20" s="544"/>
      <c r="B20" s="75" t="s">
        <v>100</v>
      </c>
      <c r="C20" s="599"/>
      <c r="D20" s="599"/>
      <c r="E20" s="599" t="str">
        <f>+B2</f>
        <v>Leases-Lessee</v>
      </c>
      <c r="F20" s="599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4"/>
      <c r="R20" s="544"/>
      <c r="S20" s="544"/>
      <c r="T20" s="544"/>
      <c r="U20" s="544"/>
      <c r="V20" s="544"/>
      <c r="W20" s="544"/>
      <c r="X20" s="544"/>
      <c r="Y20" s="544"/>
      <c r="Z20" s="544"/>
      <c r="AA20" s="544"/>
      <c r="AB20" s="544"/>
      <c r="AC20" s="544"/>
      <c r="AD20" s="544"/>
      <c r="AE20" s="544"/>
      <c r="AF20" s="544"/>
      <c r="AG20" s="544"/>
    </row>
    <row r="21" spans="1:34" ht="15" thickBot="1" x14ac:dyDescent="0.35">
      <c r="A21" s="544"/>
      <c r="B21" s="76" t="s">
        <v>101</v>
      </c>
      <c r="C21" s="77"/>
      <c r="D21" s="78" t="s">
        <v>102</v>
      </c>
      <c r="E21" s="77"/>
      <c r="F21" s="79">
        <v>2020</v>
      </c>
      <c r="G21" s="544"/>
      <c r="H21" s="544"/>
      <c r="I21" s="544"/>
      <c r="J21" s="544"/>
      <c r="K21" s="544"/>
      <c r="L21" s="544"/>
      <c r="M21" s="544"/>
      <c r="N21" s="544"/>
      <c r="O21" s="544"/>
      <c r="P21" s="544"/>
      <c r="Q21" s="544"/>
      <c r="R21" s="544"/>
      <c r="S21" s="544"/>
      <c r="T21" s="544"/>
      <c r="U21" s="544"/>
      <c r="V21" s="544"/>
      <c r="W21" s="544"/>
      <c r="X21" s="544"/>
      <c r="Y21" s="544"/>
      <c r="Z21" s="544"/>
      <c r="AA21" s="544"/>
      <c r="AB21" s="544"/>
      <c r="AC21" s="544"/>
      <c r="AD21" s="544"/>
      <c r="AE21" s="544"/>
      <c r="AF21" s="544"/>
      <c r="AG21" s="544"/>
    </row>
    <row r="22" spans="1:34" x14ac:dyDescent="0.3">
      <c r="A22" s="544"/>
      <c r="B22" s="306" t="s">
        <v>103</v>
      </c>
      <c r="C22" s="80"/>
      <c r="D22" s="81" t="s">
        <v>104</v>
      </c>
      <c r="E22" s="80" t="s">
        <v>105</v>
      </c>
      <c r="F22" s="82">
        <v>25996942.23</v>
      </c>
      <c r="G22" s="562" t="s">
        <v>106</v>
      </c>
      <c r="H22" s="544"/>
      <c r="I22" s="544"/>
      <c r="J22" s="544"/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44"/>
      <c r="V22" s="544"/>
      <c r="W22" s="544"/>
      <c r="X22" s="544"/>
      <c r="Y22" s="544"/>
      <c r="Z22" s="544"/>
      <c r="AA22" s="544"/>
      <c r="AB22" s="544"/>
      <c r="AC22" s="544"/>
      <c r="AD22" s="544"/>
      <c r="AE22" s="544"/>
      <c r="AF22" s="544"/>
      <c r="AG22" s="544"/>
    </row>
    <row r="23" spans="1:34" x14ac:dyDescent="0.3">
      <c r="A23" s="544"/>
      <c r="B23" s="83" t="s">
        <v>107</v>
      </c>
      <c r="C23" s="84"/>
      <c r="D23" s="85"/>
      <c r="E23" s="84"/>
      <c r="F23" s="86"/>
      <c r="G23" s="544"/>
      <c r="H23" s="544"/>
      <c r="I23" s="544"/>
      <c r="J23" s="544"/>
      <c r="K23" s="544"/>
      <c r="L23" s="544"/>
      <c r="M23" s="544"/>
      <c r="N23" s="544"/>
      <c r="O23" s="544"/>
      <c r="P23" s="544"/>
      <c r="Q23" s="544"/>
      <c r="R23" s="544"/>
      <c r="S23" s="544"/>
      <c r="T23" s="544"/>
      <c r="U23" s="544"/>
      <c r="V23" s="544"/>
      <c r="W23" s="544"/>
      <c r="X23" s="544"/>
      <c r="Y23" s="544"/>
      <c r="Z23" s="544"/>
      <c r="AA23" s="544"/>
      <c r="AB23" s="544"/>
      <c r="AC23" s="544"/>
      <c r="AD23" s="544"/>
      <c r="AE23" s="544"/>
      <c r="AF23" s="544"/>
      <c r="AG23" s="544"/>
    </row>
    <row r="24" spans="1:34" x14ac:dyDescent="0.3">
      <c r="A24" s="544"/>
      <c r="B24" s="83" t="s">
        <v>108</v>
      </c>
      <c r="C24" s="84"/>
      <c r="D24" s="85" t="s">
        <v>109</v>
      </c>
      <c r="E24" s="544"/>
      <c r="F24" s="87">
        <v>1765554.32</v>
      </c>
      <c r="G24" s="562" t="s">
        <v>106</v>
      </c>
      <c r="H24" s="544"/>
      <c r="I24" s="544"/>
      <c r="J24" s="544"/>
      <c r="K24" s="544"/>
      <c r="L24" s="544"/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544"/>
      <c r="X24" s="544"/>
      <c r="Y24" s="544"/>
      <c r="Z24" s="544"/>
      <c r="AA24" s="544"/>
      <c r="AB24" s="544"/>
      <c r="AC24" s="544"/>
      <c r="AD24" s="544"/>
      <c r="AE24" s="544"/>
      <c r="AF24" s="544"/>
      <c r="AG24" s="544"/>
    </row>
    <row r="25" spans="1:34" x14ac:dyDescent="0.3">
      <c r="A25" s="544"/>
      <c r="B25" s="88" t="s">
        <v>110</v>
      </c>
      <c r="C25" s="89"/>
      <c r="D25" s="90" t="s">
        <v>111</v>
      </c>
      <c r="E25" s="89"/>
      <c r="F25" s="91">
        <v>25233827.030000001</v>
      </c>
      <c r="G25" s="562" t="s">
        <v>106</v>
      </c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  <c r="U25" s="544"/>
      <c r="V25" s="544"/>
      <c r="W25" s="544"/>
      <c r="X25" s="544"/>
      <c r="Y25" s="544"/>
      <c r="Z25" s="544"/>
      <c r="AA25" s="544"/>
      <c r="AB25" s="544"/>
      <c r="AC25" s="544"/>
      <c r="AD25" s="544"/>
      <c r="AE25" s="544"/>
      <c r="AF25" s="544"/>
      <c r="AG25" s="544"/>
    </row>
    <row r="26" spans="1:34" ht="15" thickBot="1" x14ac:dyDescent="0.35">
      <c r="A26" s="544"/>
      <c r="B26" s="92" t="s">
        <v>112</v>
      </c>
      <c r="C26" s="93"/>
      <c r="D26" s="93"/>
      <c r="E26" s="94" t="s">
        <v>105</v>
      </c>
      <c r="F26" s="95">
        <f>SUM(F24:F25)</f>
        <v>26999381.350000001</v>
      </c>
      <c r="G26" s="544"/>
      <c r="H26" s="544"/>
      <c r="I26" s="544"/>
      <c r="J26" s="544"/>
      <c r="K26" s="544"/>
      <c r="L26" s="544"/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544"/>
      <c r="X26" s="544"/>
      <c r="Y26" s="544"/>
      <c r="Z26" s="544"/>
      <c r="AA26" s="544"/>
      <c r="AB26" s="544"/>
      <c r="AC26" s="544"/>
      <c r="AD26" s="544"/>
      <c r="AE26" s="544"/>
      <c r="AF26" s="544"/>
      <c r="AG26" s="544"/>
    </row>
    <row r="27" spans="1:34" x14ac:dyDescent="0.3">
      <c r="A27" s="544"/>
      <c r="B27" s="560"/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544"/>
      <c r="N27" s="544"/>
      <c r="O27" s="544"/>
      <c r="P27" s="544"/>
      <c r="Q27" s="544"/>
      <c r="R27" s="544"/>
      <c r="S27" s="544"/>
      <c r="T27" s="544"/>
      <c r="U27" s="537"/>
      <c r="V27" s="544"/>
      <c r="W27" s="544"/>
      <c r="X27" s="544"/>
      <c r="Y27" s="544"/>
      <c r="Z27" s="544"/>
      <c r="AA27" s="544"/>
      <c r="AB27" s="544"/>
      <c r="AC27" s="544"/>
      <c r="AD27" s="544"/>
      <c r="AE27" s="544"/>
      <c r="AF27" s="544"/>
      <c r="AG27" s="544"/>
    </row>
    <row r="28" spans="1:34" x14ac:dyDescent="0.3">
      <c r="A28" s="544"/>
      <c r="B28" s="590" t="s">
        <v>113</v>
      </c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306"/>
      <c r="N28" s="544"/>
      <c r="O28" s="544"/>
      <c r="P28" s="544"/>
      <c r="Q28" s="544"/>
      <c r="R28" s="544"/>
      <c r="S28" s="544"/>
      <c r="T28" s="544"/>
      <c r="U28" s="537"/>
      <c r="V28" s="544"/>
      <c r="W28" s="544"/>
      <c r="X28" s="544"/>
      <c r="Y28" s="544"/>
      <c r="Z28" s="544"/>
      <c r="AA28" s="544"/>
      <c r="AB28" s="544"/>
      <c r="AC28" s="544"/>
      <c r="AD28" s="544"/>
      <c r="AE28" s="544"/>
      <c r="AF28" s="544"/>
      <c r="AG28" s="544"/>
    </row>
    <row r="29" spans="1:34" x14ac:dyDescent="0.3">
      <c r="A29" s="544"/>
      <c r="B29" s="75"/>
      <c r="C29" s="96"/>
      <c r="D29" s="75"/>
      <c r="E29" s="96"/>
      <c r="F29" s="75"/>
      <c r="G29" s="96"/>
      <c r="H29" s="75"/>
      <c r="I29" s="96"/>
      <c r="J29" s="75"/>
      <c r="K29" s="96"/>
      <c r="L29" s="75"/>
      <c r="M29" s="75"/>
      <c r="N29" s="544"/>
      <c r="O29" s="544"/>
      <c r="P29" s="544"/>
      <c r="Q29" s="544"/>
      <c r="R29" s="544"/>
      <c r="S29" s="544"/>
      <c r="T29" s="544"/>
      <c r="U29" s="537"/>
      <c r="V29" s="544"/>
      <c r="W29" s="544"/>
      <c r="X29" s="544"/>
      <c r="Y29" s="544"/>
      <c r="Z29" s="544"/>
      <c r="AA29" s="544"/>
      <c r="AB29" s="544"/>
      <c r="AC29" s="544"/>
      <c r="AD29" s="544"/>
      <c r="AE29" s="544"/>
      <c r="AF29" s="544"/>
      <c r="AG29" s="544"/>
    </row>
    <row r="30" spans="1:34" x14ac:dyDescent="0.3">
      <c r="A30" s="544"/>
      <c r="B30" s="75" t="s">
        <v>114</v>
      </c>
      <c r="C30" s="599" t="s">
        <v>115</v>
      </c>
      <c r="D30" s="599"/>
      <c r="E30" s="599" t="str">
        <f>+E20</f>
        <v>Leases-Lessee</v>
      </c>
      <c r="F30" s="599"/>
      <c r="G30" s="544"/>
      <c r="H30" s="544"/>
      <c r="I30" s="544"/>
      <c r="J30" s="544"/>
      <c r="K30" s="544"/>
      <c r="L30" s="544"/>
      <c r="M30" s="544"/>
      <c r="N30" s="544"/>
      <c r="O30" s="544"/>
      <c r="P30" s="544"/>
      <c r="Q30" s="544"/>
      <c r="R30" s="544"/>
      <c r="S30" s="544"/>
      <c r="T30" s="544"/>
      <c r="U30" s="537"/>
      <c r="V30" s="544"/>
      <c r="W30" s="544"/>
      <c r="X30" s="544"/>
      <c r="Y30" s="544"/>
      <c r="Z30" s="544"/>
      <c r="AA30" s="544"/>
      <c r="AB30" s="544"/>
      <c r="AC30" s="544"/>
      <c r="AD30" s="544"/>
      <c r="AE30" s="544"/>
      <c r="AF30" s="544"/>
      <c r="AG30" s="544"/>
    </row>
    <row r="31" spans="1:34" ht="15" thickBot="1" x14ac:dyDescent="0.35">
      <c r="A31" s="544"/>
      <c r="B31" s="76" t="s">
        <v>101</v>
      </c>
      <c r="C31" s="77"/>
      <c r="D31" s="78"/>
      <c r="E31" s="77"/>
      <c r="F31" s="79" t="s">
        <v>116</v>
      </c>
      <c r="G31" s="79" t="s">
        <v>117</v>
      </c>
      <c r="H31" s="544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37"/>
      <c r="V31" s="544"/>
      <c r="W31" s="544"/>
      <c r="X31" s="544"/>
      <c r="Y31" s="544"/>
      <c r="Z31" s="544"/>
      <c r="AA31" s="544"/>
      <c r="AB31" s="544"/>
      <c r="AC31" s="544"/>
      <c r="AD31" s="544"/>
      <c r="AE31" s="544"/>
      <c r="AF31" s="544"/>
      <c r="AG31" s="544"/>
    </row>
    <row r="32" spans="1:34" x14ac:dyDescent="0.3">
      <c r="A32" s="544"/>
      <c r="B32" s="306" t="s">
        <v>118</v>
      </c>
      <c r="C32" s="80"/>
      <c r="D32" s="97">
        <f>G32</f>
        <v>1048561.5099999999</v>
      </c>
      <c r="E32" s="80" t="s">
        <v>105</v>
      </c>
      <c r="F32" s="98">
        <f>'[17]Operating Lease Costs'!$B$32</f>
        <v>3471878.06</v>
      </c>
      <c r="G32" s="98">
        <f>'[17]Operating Lease Costs'!$B$33</f>
        <v>1048561.5099999999</v>
      </c>
      <c r="H32" s="544"/>
      <c r="I32" s="544"/>
      <c r="J32" s="544"/>
      <c r="K32" s="544"/>
      <c r="L32" s="544"/>
      <c r="M32" s="537"/>
      <c r="N32" s="544"/>
      <c r="O32" s="544"/>
      <c r="P32" s="544"/>
      <c r="Q32" s="544"/>
      <c r="R32" s="544"/>
      <c r="S32" s="544"/>
      <c r="T32" s="544"/>
      <c r="U32" s="537"/>
      <c r="V32" s="544"/>
      <c r="W32" s="544"/>
      <c r="X32" s="544"/>
      <c r="Y32" s="544"/>
      <c r="Z32" s="544"/>
      <c r="AA32" s="544"/>
      <c r="AB32" s="544"/>
      <c r="AC32" s="544"/>
      <c r="AD32" s="544"/>
      <c r="AE32" s="544"/>
      <c r="AF32" s="544"/>
      <c r="AG32" s="544"/>
    </row>
    <row r="33" spans="2:21" x14ac:dyDescent="0.3">
      <c r="B33" s="83" t="s">
        <v>119</v>
      </c>
      <c r="C33" s="84"/>
      <c r="D33" s="85"/>
      <c r="E33" s="84"/>
      <c r="F33" s="99">
        <v>0</v>
      </c>
      <c r="G33" s="99"/>
      <c r="H33" s="544"/>
      <c r="I33" s="544"/>
      <c r="J33" s="544"/>
      <c r="K33" s="544"/>
      <c r="L33" s="544"/>
      <c r="M33" s="537"/>
      <c r="N33" s="544"/>
      <c r="O33" s="544"/>
      <c r="P33" s="544"/>
      <c r="Q33" s="544"/>
      <c r="R33" s="544"/>
      <c r="S33" s="544"/>
      <c r="T33" s="544"/>
      <c r="U33" s="537"/>
    </row>
    <row r="34" spans="2:21" ht="15" thickBot="1" x14ac:dyDescent="0.35">
      <c r="B34" s="92" t="s">
        <v>120</v>
      </c>
      <c r="C34" s="93"/>
      <c r="D34" s="100">
        <f>SUM(D32:D33)</f>
        <v>1048561.5099999999</v>
      </c>
      <c r="E34" s="94" t="s">
        <v>105</v>
      </c>
      <c r="F34" s="101">
        <f>SUM(F32:F33)</f>
        <v>3471878.06</v>
      </c>
      <c r="G34" s="101">
        <f>SUM(G32:G33)</f>
        <v>1048561.5099999999</v>
      </c>
      <c r="H34" s="544"/>
      <c r="I34" s="544"/>
      <c r="J34" s="544"/>
      <c r="K34" s="544"/>
      <c r="L34" s="544"/>
      <c r="M34" s="537"/>
      <c r="N34" s="544"/>
      <c r="O34" s="544"/>
      <c r="P34" s="544"/>
      <c r="Q34" s="544"/>
      <c r="R34" s="544"/>
      <c r="S34" s="544"/>
      <c r="T34" s="544"/>
      <c r="U34" s="537"/>
    </row>
    <row r="35" spans="2:21" ht="39" customHeight="1" x14ac:dyDescent="0.3">
      <c r="B35" s="609" t="s">
        <v>121</v>
      </c>
      <c r="C35" s="609"/>
      <c r="D35" s="609"/>
      <c r="E35" s="609"/>
      <c r="F35" s="102">
        <f>'[18]Operating Lease Costs'!$B$23</f>
        <v>433503.89</v>
      </c>
      <c r="G35" s="563">
        <f>'[18]Operating Lease Costs'!$B$27</f>
        <v>298311.33999999997</v>
      </c>
      <c r="H35" s="544"/>
      <c r="I35" s="544"/>
      <c r="J35" s="544"/>
      <c r="K35" s="544"/>
      <c r="L35" s="544"/>
      <c r="M35" s="537"/>
      <c r="N35" s="544"/>
      <c r="O35" s="544"/>
      <c r="P35" s="544"/>
      <c r="Q35" s="544"/>
      <c r="R35" s="544"/>
      <c r="S35" s="544"/>
      <c r="T35" s="544"/>
      <c r="U35" s="537"/>
    </row>
    <row r="36" spans="2:21" ht="37.5" customHeight="1" x14ac:dyDescent="0.3">
      <c r="B36" s="610" t="s">
        <v>122</v>
      </c>
      <c r="C36" s="610"/>
      <c r="D36" s="610"/>
      <c r="E36" s="610"/>
      <c r="F36" s="307"/>
      <c r="G36" s="544"/>
      <c r="H36" s="544"/>
      <c r="I36" s="544"/>
      <c r="J36" s="544"/>
      <c r="K36" s="544"/>
      <c r="L36" s="544"/>
      <c r="M36" s="537"/>
      <c r="N36" s="544"/>
      <c r="O36" s="544"/>
      <c r="P36" s="544"/>
      <c r="Q36" s="544"/>
      <c r="R36" s="544"/>
      <c r="S36" s="544"/>
      <c r="T36" s="544"/>
      <c r="U36" s="544"/>
    </row>
    <row r="37" spans="2:21" ht="20.25" customHeight="1" x14ac:dyDescent="0.3">
      <c r="B37" s="306"/>
      <c r="C37" s="306"/>
      <c r="D37" s="306"/>
      <c r="E37" s="306"/>
      <c r="F37" s="306"/>
      <c r="G37" s="544"/>
      <c r="H37" s="544"/>
      <c r="I37" s="544"/>
      <c r="J37" s="544"/>
      <c r="K37" s="544"/>
      <c r="L37" s="544"/>
      <c r="M37" s="537"/>
      <c r="N37" s="544"/>
      <c r="O37" s="544"/>
      <c r="P37" s="544"/>
      <c r="Q37" s="544"/>
      <c r="R37" s="544"/>
      <c r="S37" s="544"/>
      <c r="T37" s="544"/>
      <c r="U37" s="544"/>
    </row>
    <row r="38" spans="2:21" ht="32.25" customHeight="1" x14ac:dyDescent="0.3">
      <c r="B38" s="611" t="s">
        <v>123</v>
      </c>
      <c r="C38" s="611"/>
      <c r="D38" s="611"/>
      <c r="E38" s="611"/>
      <c r="F38" s="611"/>
      <c r="G38" s="611"/>
      <c r="H38" s="611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</row>
    <row r="39" spans="2:21" ht="15" thickBot="1" x14ac:dyDescent="0.35">
      <c r="B39" s="103" t="s">
        <v>114</v>
      </c>
      <c r="C39" s="612" t="s">
        <v>124</v>
      </c>
      <c r="D39" s="612"/>
      <c r="E39" s="612"/>
      <c r="F39" s="612"/>
      <c r="G39" s="612"/>
      <c r="H39" s="612"/>
      <c r="I39" s="612"/>
      <c r="J39" s="612"/>
      <c r="K39" s="612"/>
      <c r="L39" s="612"/>
      <c r="M39" s="612"/>
      <c r="N39" s="612"/>
      <c r="O39" s="612"/>
      <c r="P39" s="612"/>
      <c r="Q39" s="544"/>
      <c r="R39" s="544"/>
      <c r="S39" s="544"/>
      <c r="T39" s="544"/>
      <c r="U39" s="544"/>
    </row>
    <row r="40" spans="2:21" ht="15" thickBot="1" x14ac:dyDescent="0.35">
      <c r="B40" s="76" t="s">
        <v>101</v>
      </c>
      <c r="C40" s="613">
        <v>2021</v>
      </c>
      <c r="D40" s="613"/>
      <c r="E40" s="613">
        <v>2022</v>
      </c>
      <c r="F40" s="613"/>
      <c r="G40" s="613">
        <v>2023</v>
      </c>
      <c r="H40" s="613"/>
      <c r="I40" s="613">
        <v>2024</v>
      </c>
      <c r="J40" s="613"/>
      <c r="K40" s="613">
        <v>2025</v>
      </c>
      <c r="L40" s="613"/>
      <c r="M40" s="308"/>
      <c r="N40" s="104" t="s">
        <v>90</v>
      </c>
      <c r="O40" s="104"/>
      <c r="P40" s="104" t="s">
        <v>15</v>
      </c>
      <c r="Q40" s="544"/>
      <c r="R40" s="544"/>
      <c r="S40" s="544"/>
      <c r="T40" s="544"/>
      <c r="U40" s="544"/>
    </row>
    <row r="41" spans="2:21" x14ac:dyDescent="0.3">
      <c r="B41" s="83" t="s">
        <v>125</v>
      </c>
      <c r="C41" s="85" t="s">
        <v>105</v>
      </c>
      <c r="D41" s="105">
        <f>+G17</f>
        <v>2379457.1015779143</v>
      </c>
      <c r="E41" s="106" t="s">
        <v>105</v>
      </c>
      <c r="F41" s="105">
        <f>+H17</f>
        <v>2780751.2881163168</v>
      </c>
      <c r="G41" s="106" t="s">
        <v>105</v>
      </c>
      <c r="H41" s="105">
        <f>+I17</f>
        <v>2798244.8157599103</v>
      </c>
      <c r="I41" s="106" t="s">
        <v>105</v>
      </c>
      <c r="J41" s="105">
        <f>+J17</f>
        <v>2810054.6649735891</v>
      </c>
      <c r="K41" s="106" t="s">
        <v>105</v>
      </c>
      <c r="L41" s="105">
        <f>+K17</f>
        <v>2320254.9940331136</v>
      </c>
      <c r="M41" s="106" t="s">
        <v>105</v>
      </c>
      <c r="N41" s="105">
        <f>+L17</f>
        <v>48281162.752849102</v>
      </c>
      <c r="O41" s="106" t="s">
        <v>105</v>
      </c>
      <c r="P41" s="313">
        <f>+D41+F41+H41+J41+L41+N41</f>
        <v>61369925.617309943</v>
      </c>
      <c r="Q41" s="544"/>
      <c r="R41" s="544"/>
      <c r="S41" s="544"/>
      <c r="T41" s="544"/>
      <c r="U41" s="544"/>
    </row>
    <row r="42" spans="2:21" ht="15.75" customHeight="1" thickBot="1" x14ac:dyDescent="0.35">
      <c r="B42" s="76" t="s">
        <v>126</v>
      </c>
      <c r="C42" s="78"/>
      <c r="D42" s="107">
        <f>[16]Support!D17</f>
        <v>1115758.5235525519</v>
      </c>
      <c r="E42" s="107"/>
      <c r="F42" s="107">
        <f>[16]Support!E17</f>
        <v>1050057.3392673857</v>
      </c>
      <c r="G42" s="107"/>
      <c r="H42" s="107">
        <f>[16]Support!F17</f>
        <v>982604.47747871326</v>
      </c>
      <c r="I42" s="107"/>
      <c r="J42" s="107">
        <f>[16]Support!G17</f>
        <v>911964.63543716958</v>
      </c>
      <c r="K42" s="107"/>
      <c r="L42" s="107">
        <f>[16]Support!H17</f>
        <v>839644.72110202443</v>
      </c>
      <c r="M42" s="107"/>
      <c r="N42" s="107">
        <f>[16]Support!I17</f>
        <v>29972370.322119486</v>
      </c>
      <c r="O42" s="78"/>
      <c r="P42" s="314">
        <f>P41-F26</f>
        <v>34370544.267309941</v>
      </c>
      <c r="Q42" s="562" t="s">
        <v>127</v>
      </c>
      <c r="R42" s="562"/>
      <c r="S42" s="600" t="s">
        <v>128</v>
      </c>
      <c r="T42" s="601"/>
      <c r="U42" s="602"/>
    </row>
    <row r="43" spans="2:21" ht="15" thickBot="1" x14ac:dyDescent="0.35">
      <c r="B43" s="76" t="s">
        <v>15</v>
      </c>
      <c r="C43" s="78" t="s">
        <v>105</v>
      </c>
      <c r="D43" s="108">
        <f>+D41-D42</f>
        <v>1263698.5780253625</v>
      </c>
      <c r="E43" s="108" t="s">
        <v>105</v>
      </c>
      <c r="F43" s="108">
        <f>+F41-F42</f>
        <v>1730693.9488489311</v>
      </c>
      <c r="G43" s="108" t="s">
        <v>105</v>
      </c>
      <c r="H43" s="108">
        <f>+H41-H42</f>
        <v>1815640.338281197</v>
      </c>
      <c r="I43" s="108" t="s">
        <v>105</v>
      </c>
      <c r="J43" s="108">
        <f>+J41-J42</f>
        <v>1898090.0295364195</v>
      </c>
      <c r="K43" s="108" t="s">
        <v>105</v>
      </c>
      <c r="L43" s="108">
        <f>+L41-L42</f>
        <v>1480610.2729310892</v>
      </c>
      <c r="M43" s="108" t="s">
        <v>105</v>
      </c>
      <c r="N43" s="108">
        <f>+N41-N42</f>
        <v>18308792.430729616</v>
      </c>
      <c r="O43" s="78" t="s">
        <v>105</v>
      </c>
      <c r="P43" s="108">
        <f>+P41-P42</f>
        <v>26999381.350000001</v>
      </c>
      <c r="Q43" s="544"/>
      <c r="R43" s="544"/>
      <c r="S43" s="603"/>
      <c r="T43" s="604"/>
      <c r="U43" s="605"/>
    </row>
    <row r="44" spans="2:21" x14ac:dyDescent="0.3"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606"/>
      <c r="T44" s="607"/>
      <c r="U44" s="608"/>
    </row>
    <row r="45" spans="2:21" x14ac:dyDescent="0.3">
      <c r="B45" s="564" t="s">
        <v>129</v>
      </c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</row>
    <row r="47" spans="2:21" x14ac:dyDescent="0.3">
      <c r="B47" s="75" t="s">
        <v>114</v>
      </c>
      <c r="C47" s="599"/>
      <c r="D47" s="599"/>
      <c r="E47" s="599" t="str">
        <f>+B2</f>
        <v>Leases-Lessee</v>
      </c>
      <c r="F47" s="599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</row>
    <row r="48" spans="2:21" ht="15" thickBot="1" x14ac:dyDescent="0.35">
      <c r="B48" s="76" t="s">
        <v>101</v>
      </c>
      <c r="C48" s="77"/>
      <c r="D48" s="78"/>
      <c r="E48" s="109"/>
      <c r="F48" s="110">
        <v>2020</v>
      </c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544"/>
      <c r="U48" s="544"/>
    </row>
    <row r="49" spans="2:19" x14ac:dyDescent="0.3">
      <c r="B49" s="614" t="s">
        <v>130</v>
      </c>
      <c r="C49" s="614"/>
      <c r="D49" s="614"/>
      <c r="E49" s="111"/>
      <c r="F49" s="112"/>
      <c r="G49" s="544"/>
      <c r="H49" s="48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</row>
    <row r="50" spans="2:19" x14ac:dyDescent="0.3">
      <c r="B50" s="315" t="s">
        <v>131</v>
      </c>
      <c r="C50" s="316"/>
      <c r="D50" s="317"/>
      <c r="E50" s="316" t="s">
        <v>105</v>
      </c>
      <c r="F50" s="318">
        <f>'[17]Operating Lease Costs'!$B$32</f>
        <v>3471878.06</v>
      </c>
      <c r="G50" s="562" t="s">
        <v>106</v>
      </c>
      <c r="H50" s="48"/>
      <c r="I50" s="544"/>
      <c r="J50" s="544"/>
      <c r="K50" s="544"/>
      <c r="L50" s="544"/>
      <c r="M50" s="544"/>
      <c r="N50" s="544"/>
      <c r="O50" s="544"/>
      <c r="P50" s="544"/>
      <c r="Q50" s="544"/>
      <c r="R50" s="544"/>
      <c r="S50" s="544"/>
    </row>
    <row r="51" spans="2:19" ht="28.8" x14ac:dyDescent="0.3">
      <c r="B51" s="83" t="s">
        <v>132</v>
      </c>
      <c r="C51" s="84"/>
      <c r="D51" s="85"/>
      <c r="E51" s="84"/>
      <c r="F51" s="113"/>
      <c r="G51" s="544"/>
      <c r="H51" s="48"/>
      <c r="I51" s="544"/>
      <c r="J51" s="565" t="s">
        <v>133</v>
      </c>
      <c r="K51" s="566"/>
      <c r="L51" s="566"/>
      <c r="M51" s="566"/>
      <c r="N51" s="566"/>
      <c r="O51" s="566"/>
      <c r="P51" s="566"/>
      <c r="Q51" s="566"/>
      <c r="R51" s="566"/>
      <c r="S51" s="567"/>
    </row>
    <row r="52" spans="2:19" x14ac:dyDescent="0.3">
      <c r="B52" s="114" t="s">
        <v>134</v>
      </c>
      <c r="C52" s="85"/>
      <c r="D52" s="85"/>
      <c r="E52" s="544"/>
      <c r="F52" s="115">
        <v>0</v>
      </c>
      <c r="G52" s="116" t="s">
        <v>106</v>
      </c>
      <c r="H52" s="48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</row>
    <row r="53" spans="2:19" x14ac:dyDescent="0.3">
      <c r="B53" s="544" t="s">
        <v>83</v>
      </c>
      <c r="C53" s="544"/>
      <c r="D53" s="544"/>
      <c r="E53" s="544"/>
      <c r="F53" s="117">
        <f>+Q17</f>
        <v>43.545957452754855</v>
      </c>
      <c r="G53" s="48"/>
      <c r="H53" s="48"/>
      <c r="I53" s="48"/>
      <c r="J53" s="48"/>
      <c r="K53" s="544"/>
      <c r="L53" s="544"/>
      <c r="M53" s="544"/>
      <c r="N53" s="544"/>
      <c r="O53" s="544"/>
      <c r="P53" s="544"/>
      <c r="Q53" s="544"/>
      <c r="R53" s="544"/>
      <c r="S53" s="544"/>
    </row>
    <row r="54" spans="2:19" ht="15" thickBot="1" x14ac:dyDescent="0.35">
      <c r="B54" s="568" t="s">
        <v>135</v>
      </c>
      <c r="C54" s="93"/>
      <c r="D54" s="93"/>
      <c r="E54" s="94" t="s">
        <v>105</v>
      </c>
      <c r="F54" s="118">
        <f>+R17</f>
        <v>4.3617950989124202E-2</v>
      </c>
      <c r="G54" s="48"/>
      <c r="H54" s="48"/>
      <c r="I54" s="48"/>
      <c r="J54" s="48"/>
      <c r="K54" s="544"/>
      <c r="L54" s="544"/>
      <c r="M54" s="544"/>
      <c r="N54" s="544"/>
      <c r="O54" s="544"/>
      <c r="P54" s="544"/>
      <c r="Q54" s="544"/>
      <c r="R54" s="544"/>
      <c r="S54" s="544"/>
    </row>
    <row r="56" spans="2:19" ht="18.75" customHeight="1" x14ac:dyDescent="0.3">
      <c r="B56" s="615" t="s">
        <v>136</v>
      </c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544"/>
      <c r="N56" s="544"/>
      <c r="O56" s="544"/>
      <c r="P56" s="544"/>
      <c r="Q56" s="544"/>
      <c r="R56" s="544"/>
      <c r="S56" s="544"/>
    </row>
    <row r="57" spans="2:19" x14ac:dyDescent="0.3">
      <c r="B57" s="72" t="s">
        <v>137</v>
      </c>
      <c r="C57" s="544"/>
      <c r="D57" s="544"/>
      <c r="E57" s="544"/>
      <c r="F57" s="119">
        <v>0</v>
      </c>
      <c r="G57" s="562" t="s">
        <v>106</v>
      </c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</row>
    <row r="58" spans="2:19" x14ac:dyDescent="0.3">
      <c r="B58" s="72" t="s">
        <v>138</v>
      </c>
      <c r="C58" s="544"/>
      <c r="D58" s="544"/>
      <c r="E58" s="544"/>
      <c r="F58" s="562"/>
      <c r="G58" s="562" t="s">
        <v>106</v>
      </c>
      <c r="H58" s="544"/>
      <c r="I58" s="544"/>
      <c r="J58" s="544"/>
      <c r="K58" s="544"/>
      <c r="L58" s="544"/>
      <c r="M58" s="544"/>
      <c r="N58" s="544"/>
      <c r="O58" s="544"/>
      <c r="P58" s="544"/>
      <c r="Q58" s="544"/>
      <c r="R58" s="544"/>
      <c r="S58" s="544"/>
    </row>
    <row r="59" spans="2:19" x14ac:dyDescent="0.3">
      <c r="B59" s="72" t="s">
        <v>139</v>
      </c>
      <c r="C59" s="544"/>
      <c r="D59" s="544"/>
      <c r="E59" s="544"/>
      <c r="F59" s="562"/>
      <c r="G59" s="562" t="s">
        <v>106</v>
      </c>
      <c r="H59" s="544"/>
      <c r="I59" s="544"/>
      <c r="J59" s="544"/>
      <c r="K59" s="544"/>
      <c r="L59" s="544"/>
      <c r="M59" s="544"/>
      <c r="N59" s="544"/>
      <c r="O59" s="544"/>
      <c r="P59" s="544"/>
      <c r="Q59" s="544"/>
      <c r="R59" s="544"/>
      <c r="S59" s="544"/>
    </row>
    <row r="60" spans="2:19" x14ac:dyDescent="0.3">
      <c r="B60" s="72" t="s">
        <v>140</v>
      </c>
      <c r="C60" s="544"/>
      <c r="D60" s="544"/>
      <c r="E60" s="544"/>
      <c r="F60" s="562"/>
      <c r="G60" s="562" t="s">
        <v>106</v>
      </c>
      <c r="H60" s="544"/>
      <c r="I60" s="544"/>
      <c r="J60" s="544"/>
      <c r="K60" s="544"/>
      <c r="L60" s="544"/>
      <c r="M60" s="544"/>
      <c r="N60" s="544"/>
      <c r="O60" s="544"/>
      <c r="P60" s="544"/>
      <c r="Q60" s="544"/>
      <c r="R60" s="544"/>
      <c r="S60" s="544"/>
    </row>
    <row r="63" spans="2:19" ht="39" customHeight="1" x14ac:dyDescent="0.3">
      <c r="B63" s="616" t="s">
        <v>141</v>
      </c>
      <c r="C63" s="616"/>
      <c r="D63" s="616"/>
      <c r="E63" s="616"/>
      <c r="F63" s="616"/>
      <c r="G63" s="616"/>
      <c r="H63" s="616"/>
      <c r="I63" s="544"/>
      <c r="J63" s="544"/>
      <c r="K63" s="544"/>
      <c r="L63" s="544"/>
      <c r="M63" s="544"/>
      <c r="N63" s="544"/>
      <c r="O63" s="544"/>
      <c r="P63" s="544"/>
      <c r="Q63" s="544"/>
      <c r="R63" s="544"/>
      <c r="S63" s="544"/>
    </row>
    <row r="64" spans="2:19" x14ac:dyDescent="0.3">
      <c r="B64" s="544"/>
      <c r="C64" s="544"/>
      <c r="D64" s="544"/>
      <c r="E64" s="544"/>
      <c r="F64" s="544"/>
      <c r="G64" s="544"/>
      <c r="H64" s="544"/>
      <c r="I64" s="544"/>
      <c r="J64" s="544"/>
      <c r="K64" s="544"/>
      <c r="L64" s="544"/>
      <c r="M64" s="544"/>
      <c r="N64" s="537"/>
      <c r="O64" s="544"/>
      <c r="P64" s="544"/>
      <c r="Q64" s="544"/>
      <c r="R64" s="537"/>
      <c r="S64" s="544"/>
    </row>
    <row r="65" spans="14:18" x14ac:dyDescent="0.3">
      <c r="N65" s="537"/>
      <c r="O65" s="544"/>
      <c r="P65" s="544"/>
      <c r="Q65" s="544"/>
      <c r="R65" s="537"/>
    </row>
    <row r="66" spans="14:18" x14ac:dyDescent="0.3">
      <c r="N66" s="537"/>
      <c r="O66" s="544"/>
      <c r="P66" s="544"/>
      <c r="Q66" s="544"/>
      <c r="R66" s="537"/>
    </row>
    <row r="67" spans="14:18" x14ac:dyDescent="0.3">
      <c r="N67" s="537"/>
      <c r="O67" s="544"/>
      <c r="P67" s="544"/>
      <c r="Q67" s="544"/>
      <c r="R67" s="537"/>
    </row>
    <row r="68" spans="14:18" x14ac:dyDescent="0.3">
      <c r="N68" s="537"/>
      <c r="O68" s="544"/>
      <c r="P68" s="544"/>
      <c r="Q68" s="544"/>
      <c r="R68" s="569"/>
    </row>
    <row r="69" spans="14:18" x14ac:dyDescent="0.3">
      <c r="N69" s="537"/>
      <c r="O69" s="544"/>
      <c r="P69" s="544"/>
      <c r="Q69" s="544"/>
      <c r="R69" s="544"/>
    </row>
    <row r="70" spans="14:18" x14ac:dyDescent="0.3">
      <c r="N70" s="537"/>
      <c r="O70" s="544"/>
      <c r="P70" s="544"/>
      <c r="Q70" s="544"/>
      <c r="R70" s="544"/>
    </row>
    <row r="71" spans="14:18" x14ac:dyDescent="0.3">
      <c r="N71" s="537"/>
      <c r="O71" s="544"/>
      <c r="P71" s="544"/>
      <c r="Q71" s="544"/>
      <c r="R71" s="544"/>
    </row>
  </sheetData>
  <mergeCells count="23">
    <mergeCell ref="C47:D47"/>
    <mergeCell ref="E47:F47"/>
    <mergeCell ref="B49:D49"/>
    <mergeCell ref="B56:L56"/>
    <mergeCell ref="B63:H63"/>
    <mergeCell ref="S42:U44"/>
    <mergeCell ref="C30:D30"/>
    <mergeCell ref="E30:F30"/>
    <mergeCell ref="B35:E35"/>
    <mergeCell ref="B36:E36"/>
    <mergeCell ref="B38:H38"/>
    <mergeCell ref="C39:P39"/>
    <mergeCell ref="C40:D40"/>
    <mergeCell ref="E40:F40"/>
    <mergeCell ref="G40:H40"/>
    <mergeCell ref="I40:J40"/>
    <mergeCell ref="K40:L40"/>
    <mergeCell ref="B28:L28"/>
    <mergeCell ref="N7:O7"/>
    <mergeCell ref="A8:F8"/>
    <mergeCell ref="G8:M8"/>
    <mergeCell ref="C20:D20"/>
    <mergeCell ref="E20:F20"/>
  </mergeCells>
  <conditionalFormatting sqref="B3">
    <cfRule type="containsText" dxfId="21" priority="5" operator="containsText" text="***Select***">
      <formula>NOT(ISERROR(SEARCH("***Select***",B3)))</formula>
    </cfRule>
    <cfRule type="containsText" dxfId="20" priority="6" operator="containsText" text="***Select***">
      <formula>NOT(ISERROR(SEARCH("***Select***",B3)))</formula>
    </cfRule>
  </conditionalFormatting>
  <conditionalFormatting sqref="B3:B4">
    <cfRule type="containsText" dxfId="19" priority="1" operator="containsText" text="***Select***">
      <formula>NOT(ISERROR(SEARCH("***Select***",B3)))</formula>
    </cfRule>
    <cfRule type="containsText" dxfId="18" priority="3" operator="containsText" text="***Select***">
      <formula>NOT(ISERROR(SEARCH("***Select***",B3)))</formula>
    </cfRule>
  </conditionalFormatting>
  <dataValidations count="1">
    <dataValidation type="list" errorStyle="information" showInputMessage="1" showErrorMessage="1" prompt="Please select" sqref="P5" xr:uid="{9AC00BF2-2723-44F8-B8EE-3245A98C6414}">
      <formula1>Schedule_Confirmation</formula1>
    </dataValidation>
  </dataValidations>
  <pageMargins left="0.7" right="0.7" top="0.75" bottom="0.75" header="0.3" footer="0.3"/>
  <pageSetup paperSize="5" scale="43" orientation="landscape" r:id="rId1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6085-79FB-4402-BD04-322670DD7FDC}">
  <sheetPr>
    <pageSetUpPr fitToPage="1"/>
  </sheetPr>
  <dimension ref="A1:T62"/>
  <sheetViews>
    <sheetView topLeftCell="A21" zoomScaleNormal="100" zoomScaleSheetLayoutView="100" workbookViewId="0">
      <selection activeCell="I33" sqref="I33"/>
    </sheetView>
  </sheetViews>
  <sheetFormatPr defaultColWidth="9.109375" defaultRowHeight="14.1" customHeight="1" x14ac:dyDescent="0.2"/>
  <cols>
    <col min="1" max="1" width="4.6640625" style="5" customWidth="1"/>
    <col min="2" max="2" width="6.88671875" style="5" bestFit="1" customWidth="1"/>
    <col min="3" max="4" width="9.5546875" style="5" customWidth="1"/>
    <col min="5" max="5" width="6.6640625" style="5" customWidth="1"/>
    <col min="6" max="6" width="12.44140625" style="5" customWidth="1"/>
    <col min="7" max="7" width="5.6640625" style="5" customWidth="1"/>
    <col min="8" max="8" width="9.109375" style="5"/>
    <col min="9" max="9" width="11.5546875" style="5" customWidth="1"/>
    <col min="10" max="10" width="10.88671875" style="5" bestFit="1" customWidth="1"/>
    <col min="11" max="12" width="9.5546875" style="5" customWidth="1"/>
    <col min="13" max="13" width="2.5546875" style="5" customWidth="1"/>
    <col min="14" max="20" width="9.5546875" style="5" customWidth="1"/>
    <col min="21" max="16384" width="9.109375" style="5"/>
  </cols>
  <sheetData>
    <row r="1" spans="1:20" ht="14.1" hidden="1" customHeight="1" x14ac:dyDescent="0.2">
      <c r="C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  <c r="P1" s="5">
        <v>13</v>
      </c>
      <c r="Q1" s="5">
        <v>14</v>
      </c>
      <c r="R1" s="5">
        <v>15</v>
      </c>
      <c r="S1" s="5">
        <v>17</v>
      </c>
    </row>
    <row r="2" spans="1:20" ht="14.1" hidden="1" customHeight="1" x14ac:dyDescent="0.2">
      <c r="S2" s="5">
        <v>1</v>
      </c>
    </row>
    <row r="3" spans="1:20" ht="14.1" customHeight="1" thickBot="1" x14ac:dyDescent="0.25">
      <c r="A3" s="9" t="s">
        <v>0</v>
      </c>
      <c r="B3" s="9"/>
      <c r="C3" s="9"/>
      <c r="D3" s="9"/>
      <c r="E3" s="9"/>
      <c r="F3" s="9"/>
      <c r="G3" s="9"/>
      <c r="H3" s="9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 t="str">
        <f>"Page 1 of " &amp; S$2</f>
        <v>Page 1 of 1</v>
      </c>
    </row>
    <row r="4" spans="1:20" ht="14.1" customHeight="1" x14ac:dyDescent="0.2">
      <c r="A4" s="5" t="s">
        <v>3</v>
      </c>
      <c r="E4" s="5" t="s">
        <v>4</v>
      </c>
      <c r="G4" s="5" t="s">
        <v>5</v>
      </c>
      <c r="K4" s="10"/>
      <c r="L4" s="10"/>
      <c r="N4" s="10"/>
      <c r="O4" s="10"/>
      <c r="P4" s="10" t="s">
        <v>6</v>
      </c>
      <c r="S4" s="11"/>
      <c r="T4" s="11"/>
    </row>
    <row r="5" spans="1:20" ht="14.1" customHeight="1" x14ac:dyDescent="0.2">
      <c r="K5" s="12"/>
      <c r="L5" s="11"/>
      <c r="O5" s="12"/>
      <c r="P5" s="12" t="s">
        <v>7</v>
      </c>
      <c r="Q5" s="11" t="s">
        <v>142</v>
      </c>
      <c r="S5" s="12"/>
      <c r="T5" s="11"/>
    </row>
    <row r="6" spans="1:20" ht="14.1" customHeight="1" x14ac:dyDescent="0.2">
      <c r="A6" s="5" t="s">
        <v>9</v>
      </c>
      <c r="K6" s="12"/>
      <c r="L6" s="11"/>
      <c r="M6" s="12"/>
      <c r="P6" s="12" t="s">
        <v>7</v>
      </c>
      <c r="Q6" s="11" t="s">
        <v>143</v>
      </c>
      <c r="S6" s="12"/>
      <c r="T6" s="11"/>
    </row>
    <row r="7" spans="1:20" ht="14.1" customHeight="1" x14ac:dyDescent="0.2">
      <c r="K7" s="12"/>
      <c r="L7" s="11"/>
      <c r="M7" s="12"/>
      <c r="P7" s="12"/>
      <c r="Q7" s="11" t="s">
        <v>144</v>
      </c>
      <c r="S7" s="12"/>
      <c r="T7" s="11"/>
    </row>
    <row r="8" spans="1:20" ht="14.1" customHeight="1" thickBot="1" x14ac:dyDescent="0.25">
      <c r="A8" s="9" t="s">
        <v>145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 t="s">
        <v>146</v>
      </c>
      <c r="R8" s="9"/>
      <c r="S8" s="9"/>
    </row>
    <row r="9" spans="1:20" ht="14.1" customHeight="1" x14ac:dyDescent="0.2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20" ht="14.1" customHeight="1" x14ac:dyDescent="0.2">
      <c r="C10" s="13"/>
      <c r="D10" s="13"/>
      <c r="E10" s="13"/>
      <c r="F10" s="13"/>
      <c r="G10" s="13"/>
      <c r="H10" s="13"/>
      <c r="I10" s="1" t="s">
        <v>12</v>
      </c>
      <c r="J10" s="13"/>
      <c r="M10" s="13"/>
      <c r="N10" s="13"/>
      <c r="O10" s="13"/>
      <c r="P10" s="13"/>
      <c r="Q10" s="13"/>
      <c r="R10" s="13"/>
      <c r="S10" s="13"/>
    </row>
    <row r="11" spans="1:20" ht="14.1" customHeight="1" x14ac:dyDescent="0.2">
      <c r="G11" s="13"/>
      <c r="H11" s="1"/>
      <c r="I11" s="13"/>
      <c r="J11" s="1"/>
      <c r="K11" s="13"/>
      <c r="L11" s="1"/>
      <c r="M11" s="1"/>
      <c r="N11" s="1"/>
      <c r="S11" s="1"/>
    </row>
    <row r="12" spans="1:20" ht="14.1" customHeight="1" x14ac:dyDescent="0.2">
      <c r="A12" s="5" t="s">
        <v>13</v>
      </c>
      <c r="B12" s="1"/>
      <c r="C12" s="1"/>
      <c r="D12" s="1"/>
      <c r="E12" s="1"/>
      <c r="F12" s="13"/>
      <c r="G12" s="1"/>
      <c r="H12" s="1"/>
      <c r="I12" s="1"/>
      <c r="J12" s="1"/>
      <c r="K12" s="1"/>
      <c r="L12" s="13"/>
      <c r="M12" s="1"/>
      <c r="N12" s="11"/>
      <c r="O12" s="11"/>
      <c r="P12" s="13"/>
      <c r="Q12" s="13"/>
      <c r="R12" s="13"/>
      <c r="S12" s="1"/>
    </row>
    <row r="13" spans="1:20" ht="14.1" customHeight="1" thickBot="1" x14ac:dyDescent="0.25">
      <c r="A13" s="9" t="s">
        <v>14</v>
      </c>
      <c r="B13" s="14"/>
      <c r="C13" s="14"/>
      <c r="D13" s="14"/>
      <c r="E13" s="14"/>
      <c r="F13" s="14"/>
      <c r="G13" s="15"/>
      <c r="H13" s="15"/>
      <c r="I13" s="16"/>
      <c r="J13" s="16"/>
      <c r="K13" s="15"/>
      <c r="L13" s="16"/>
      <c r="M13" s="16"/>
      <c r="N13" s="17"/>
      <c r="O13" s="17"/>
      <c r="P13" s="17"/>
      <c r="Q13" s="17"/>
      <c r="R13" s="17"/>
      <c r="S13" s="17"/>
    </row>
    <row r="14" spans="1:20" ht="14.1" customHeight="1" x14ac:dyDescent="0.2">
      <c r="A14" s="5">
        <v>1</v>
      </c>
      <c r="B14" s="19"/>
      <c r="C14" s="3"/>
      <c r="D14" s="3"/>
      <c r="E14" s="3"/>
      <c r="F14" s="2"/>
      <c r="G14" s="2"/>
      <c r="H14" s="18" t="s">
        <v>15</v>
      </c>
      <c r="I14" s="7"/>
      <c r="J14" s="18"/>
      <c r="K14" s="18"/>
      <c r="L14" s="3"/>
      <c r="M14" s="3"/>
      <c r="N14" s="3"/>
      <c r="O14" s="3"/>
      <c r="P14" s="3"/>
      <c r="Q14" s="3"/>
      <c r="R14" s="3"/>
      <c r="S14" s="3"/>
    </row>
    <row r="15" spans="1:20" ht="14.1" customHeight="1" x14ac:dyDescent="0.2">
      <c r="A15" s="5">
        <v>2</v>
      </c>
      <c r="B15" s="19"/>
      <c r="C15" s="3"/>
      <c r="F15" s="2"/>
      <c r="G15" s="2"/>
      <c r="H15" s="2"/>
      <c r="I15" s="2"/>
      <c r="J15" s="3"/>
      <c r="K15" s="3"/>
      <c r="L15" s="3"/>
      <c r="M15" s="2"/>
      <c r="N15" s="2"/>
      <c r="O15" s="2"/>
      <c r="P15" s="2"/>
      <c r="Q15" s="2"/>
      <c r="R15" s="2"/>
      <c r="S15" s="2"/>
    </row>
    <row r="16" spans="1:20" ht="14.1" customHeight="1" x14ac:dyDescent="0.2">
      <c r="A16" s="5">
        <v>3</v>
      </c>
      <c r="B16" s="20"/>
      <c r="C16" s="3"/>
      <c r="D16" s="5" t="s">
        <v>147</v>
      </c>
      <c r="F16" s="4"/>
      <c r="G16" s="4"/>
      <c r="H16" s="3">
        <f>(Leases!C17+Leases!C18)*1000</f>
        <v>2069.8209999999999</v>
      </c>
      <c r="I16" s="2"/>
      <c r="J16" s="2"/>
      <c r="L16" s="6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5">
        <v>4</v>
      </c>
      <c r="B17" s="20"/>
      <c r="C17" s="3"/>
      <c r="D17" s="5" t="s">
        <v>148</v>
      </c>
      <c r="F17" s="4"/>
      <c r="G17" s="4"/>
      <c r="H17" s="3" t="e">
        <f>#REF!/1000</f>
        <v>#REF!</v>
      </c>
      <c r="I17" s="2"/>
      <c r="J17" s="2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5">
        <v>5</v>
      </c>
      <c r="B18" s="20"/>
      <c r="C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5">
        <v>6</v>
      </c>
      <c r="B19" s="20"/>
      <c r="C19" s="3"/>
      <c r="D19" s="5" t="s">
        <v>18</v>
      </c>
      <c r="F19" s="4"/>
      <c r="G19" s="4"/>
      <c r="H19" s="3" t="e">
        <f>(#REF!+#REF!+#REF!+#REF!+#REF!)/1000</f>
        <v>#REF!</v>
      </c>
      <c r="I19" s="7"/>
      <c r="J19" s="7"/>
      <c r="K19" s="3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5">
        <v>7</v>
      </c>
      <c r="B20" s="121"/>
      <c r="C20" s="122"/>
      <c r="D20" s="123" t="s">
        <v>149</v>
      </c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spans="1:19" ht="14.1" customHeight="1" x14ac:dyDescent="0.2">
      <c r="A21" s="5">
        <v>8</v>
      </c>
      <c r="B21" s="20"/>
      <c r="C21" s="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5">
        <v>9</v>
      </c>
      <c r="B22" s="20"/>
      <c r="C22" s="3"/>
      <c r="F22" s="4"/>
      <c r="G22" s="4"/>
      <c r="H22" s="4"/>
      <c r="I22" s="4" t="s">
        <v>20</v>
      </c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5">
        <v>10</v>
      </c>
      <c r="B23" s="121"/>
      <c r="C23" s="122"/>
      <c r="D23" s="123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spans="1:19" ht="14.1" customHeight="1" x14ac:dyDescent="0.2">
      <c r="A24" s="5">
        <v>11</v>
      </c>
      <c r="B24" s="20"/>
      <c r="C24" s="18"/>
      <c r="D24" s="1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4"/>
      <c r="R24" s="4"/>
      <c r="S24" s="4"/>
    </row>
    <row r="25" spans="1:19" ht="14.1" customHeight="1" x14ac:dyDescent="0.2">
      <c r="A25" s="5">
        <v>12</v>
      </c>
      <c r="B25" s="20"/>
      <c r="C25" s="18"/>
      <c r="D25" s="1"/>
      <c r="E25" s="1"/>
      <c r="F25" s="8" t="s">
        <v>21</v>
      </c>
      <c r="G25" s="8"/>
      <c r="H25" s="8"/>
      <c r="I25" s="8" t="s">
        <v>22</v>
      </c>
      <c r="J25" s="8"/>
      <c r="K25" s="8"/>
      <c r="L25" s="8" t="s">
        <v>23</v>
      </c>
      <c r="M25" s="8"/>
      <c r="N25" s="8"/>
      <c r="O25" s="8" t="s">
        <v>24</v>
      </c>
      <c r="P25" s="8"/>
      <c r="Q25" s="4"/>
      <c r="R25" s="4"/>
      <c r="S25" s="4"/>
    </row>
    <row r="26" spans="1:19" ht="14.1" customHeight="1" x14ac:dyDescent="0.2">
      <c r="A26" s="5">
        <v>13</v>
      </c>
      <c r="B26" s="20"/>
      <c r="C26" s="18" t="s">
        <v>25</v>
      </c>
      <c r="D26" s="1"/>
      <c r="E26" s="1"/>
      <c r="F26" s="8" t="s">
        <v>26</v>
      </c>
      <c r="G26" s="8"/>
      <c r="H26" s="8"/>
      <c r="I26" s="8" t="s">
        <v>27</v>
      </c>
      <c r="J26" s="8"/>
      <c r="K26" s="8"/>
      <c r="L26" s="8" t="s">
        <v>28</v>
      </c>
      <c r="M26" s="8"/>
      <c r="N26" s="8"/>
      <c r="O26" s="8" t="s">
        <v>29</v>
      </c>
      <c r="P26" s="8"/>
      <c r="Q26" s="4"/>
      <c r="R26" s="4"/>
      <c r="S26" s="4"/>
    </row>
    <row r="27" spans="1:19" ht="14.1" customHeight="1" x14ac:dyDescent="0.2">
      <c r="A27" s="5">
        <v>14</v>
      </c>
      <c r="B27" s="121"/>
      <c r="C27" s="125"/>
      <c r="D27" s="126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4"/>
      <c r="R27" s="124"/>
      <c r="S27" s="124"/>
    </row>
    <row r="28" spans="1:19" ht="14.1" customHeight="1" x14ac:dyDescent="0.2">
      <c r="A28" s="5">
        <v>15</v>
      </c>
      <c r="B28" s="20"/>
      <c r="C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5">
        <v>16</v>
      </c>
      <c r="B29" s="20"/>
      <c r="C29" s="3" t="s">
        <v>30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5">
        <v>17</v>
      </c>
      <c r="B30" s="20"/>
      <c r="C30" s="3"/>
      <c r="F30" s="4"/>
      <c r="G30" s="4"/>
      <c r="H30" s="4"/>
      <c r="I30" s="2"/>
      <c r="J30" s="6"/>
      <c r="K30" s="4"/>
      <c r="L30" s="6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A31" s="5">
        <v>18</v>
      </c>
      <c r="B31" s="20"/>
      <c r="C31" s="3" t="s">
        <v>150</v>
      </c>
      <c r="F31" s="4" t="s">
        <v>32</v>
      </c>
      <c r="G31" s="4"/>
      <c r="H31" s="4"/>
      <c r="I31" s="2">
        <f>'2019 Pole Rental'!B25/1000</f>
        <v>359.74544999999989</v>
      </c>
      <c r="J31" s="6"/>
      <c r="K31" s="4"/>
      <c r="L31" s="6" t="s">
        <v>33</v>
      </c>
      <c r="M31" s="4"/>
      <c r="N31" s="4" t="s">
        <v>34</v>
      </c>
      <c r="O31" s="4"/>
      <c r="P31" s="4"/>
      <c r="Q31" s="4"/>
      <c r="R31" s="4"/>
      <c r="S31" s="4"/>
    </row>
    <row r="32" spans="1:19" ht="14.1" customHeight="1" x14ac:dyDescent="0.2">
      <c r="A32" s="5">
        <v>19</v>
      </c>
      <c r="B32" s="20"/>
      <c r="C32" s="3" t="s">
        <v>151</v>
      </c>
      <c r="F32" s="4" t="s">
        <v>32</v>
      </c>
      <c r="G32" s="4"/>
      <c r="H32" s="4"/>
      <c r="I32" s="2">
        <f>'2020 Pole Rental'!B26/1000</f>
        <v>339.97924</v>
      </c>
      <c r="J32" s="6"/>
      <c r="K32" s="4"/>
      <c r="L32" s="6" t="s">
        <v>33</v>
      </c>
      <c r="M32" s="4"/>
      <c r="N32" s="4" t="s">
        <v>34</v>
      </c>
      <c r="O32" s="4"/>
      <c r="P32" s="4"/>
      <c r="Q32" s="4"/>
      <c r="R32" s="4"/>
      <c r="S32" s="4"/>
    </row>
    <row r="33" spans="1:19" ht="14.1" customHeight="1" x14ac:dyDescent="0.2">
      <c r="A33" s="5">
        <v>20</v>
      </c>
      <c r="B33" s="20"/>
      <c r="C33" s="5" t="s">
        <v>152</v>
      </c>
      <c r="F33" s="5" t="s">
        <v>32</v>
      </c>
      <c r="I33" s="2">
        <f>SUM('2021 TRIAL_BALANCE'!P509:AA509)/1000</f>
        <v>379.89230288000005</v>
      </c>
      <c r="L33" s="5" t="s">
        <v>33</v>
      </c>
      <c r="N33" s="5" t="s">
        <v>34</v>
      </c>
      <c r="R33" s="4"/>
      <c r="S33" s="4"/>
    </row>
    <row r="34" spans="1:19" ht="14.1" customHeight="1" x14ac:dyDescent="0.2">
      <c r="A34" s="5">
        <v>21</v>
      </c>
      <c r="B34" s="20"/>
      <c r="R34" s="4"/>
      <c r="S34" s="4"/>
    </row>
    <row r="35" spans="1:19" ht="14.1" customHeight="1" x14ac:dyDescent="0.2">
      <c r="A35" s="5">
        <v>22</v>
      </c>
      <c r="B35" s="20"/>
      <c r="R35" s="4"/>
      <c r="S35" s="4"/>
    </row>
    <row r="36" spans="1:19" ht="14.1" customHeight="1" x14ac:dyDescent="0.2">
      <c r="A36" s="5">
        <v>23</v>
      </c>
      <c r="B36" s="20"/>
      <c r="C36" s="3" t="s">
        <v>38</v>
      </c>
      <c r="F36" s="2">
        <f>37370675/1000</f>
        <v>37370.675000000003</v>
      </c>
      <c r="G36" s="4"/>
      <c r="H36" s="4"/>
      <c r="I36" s="2" t="e">
        <f>#REF!/1000</f>
        <v>#REF!</v>
      </c>
      <c r="J36" s="4" t="s">
        <v>39</v>
      </c>
      <c r="K36" s="4"/>
      <c r="L36" s="4" t="s">
        <v>40</v>
      </c>
      <c r="M36" s="4"/>
      <c r="N36" s="5" t="s">
        <v>41</v>
      </c>
      <c r="O36" s="4"/>
      <c r="P36" s="4"/>
      <c r="Q36" s="4"/>
      <c r="R36" s="4"/>
      <c r="S36" s="4"/>
    </row>
    <row r="37" spans="1:19" ht="14.1" customHeight="1" x14ac:dyDescent="0.2">
      <c r="A37" s="5">
        <v>24</v>
      </c>
      <c r="B37" s="20"/>
      <c r="C37" s="3" t="s">
        <v>42</v>
      </c>
      <c r="F37" s="4"/>
      <c r="G37" s="4"/>
      <c r="H37" s="4"/>
      <c r="I37" s="4"/>
      <c r="J37" s="4"/>
      <c r="K37" s="4"/>
      <c r="L37" s="4"/>
      <c r="M37" s="4"/>
      <c r="N37" s="5" t="s">
        <v>153</v>
      </c>
      <c r="O37" s="4"/>
      <c r="P37" s="4"/>
      <c r="Q37" s="4"/>
      <c r="R37" s="4"/>
      <c r="S37" s="4"/>
    </row>
    <row r="38" spans="1:19" ht="14.1" customHeight="1" x14ac:dyDescent="0.2">
      <c r="A38" s="5">
        <v>25</v>
      </c>
      <c r="B38" s="20"/>
      <c r="C38" s="3"/>
      <c r="F38" s="4"/>
      <c r="G38" s="4"/>
      <c r="H38" s="4"/>
      <c r="I38" s="4"/>
      <c r="J38" s="4"/>
      <c r="K38" s="4"/>
      <c r="L38" s="4"/>
      <c r="M38" s="4"/>
      <c r="N38" s="5" t="s">
        <v>43</v>
      </c>
      <c r="O38" s="4"/>
      <c r="P38" s="4"/>
      <c r="Q38" s="4"/>
      <c r="R38" s="4"/>
      <c r="S38" s="4"/>
    </row>
    <row r="39" spans="1:19" ht="14.1" customHeight="1" x14ac:dyDescent="0.2">
      <c r="A39" s="5">
        <v>26</v>
      </c>
      <c r="B39" s="20"/>
      <c r="C39" s="3" t="s">
        <v>154</v>
      </c>
      <c r="F39" s="4"/>
      <c r="G39" s="4"/>
      <c r="H39" s="4"/>
      <c r="I39" s="4"/>
      <c r="J39" s="4"/>
      <c r="K39" s="4"/>
      <c r="L39" s="4"/>
      <c r="M39" s="4"/>
      <c r="N39" s="5" t="s">
        <v>45</v>
      </c>
      <c r="O39" s="4"/>
      <c r="P39" s="4"/>
      <c r="Q39" s="4"/>
      <c r="R39" s="4"/>
      <c r="S39" s="4"/>
    </row>
    <row r="40" spans="1:19" ht="14.1" customHeight="1" x14ac:dyDescent="0.2">
      <c r="A40" s="5">
        <v>27</v>
      </c>
      <c r="B40" s="20"/>
      <c r="C40" s="3" t="s">
        <v>46</v>
      </c>
      <c r="F40" s="4"/>
      <c r="G40" s="8"/>
      <c r="H40" s="4"/>
      <c r="I40" s="4"/>
      <c r="J40" s="6"/>
      <c r="K40" s="4"/>
      <c r="L40" s="6"/>
      <c r="M40" s="4"/>
      <c r="O40" s="4"/>
      <c r="P40" s="4"/>
      <c r="Q40" s="4"/>
      <c r="R40" s="4"/>
      <c r="S40" s="4"/>
    </row>
    <row r="41" spans="1:19" ht="14.1" customHeight="1" x14ac:dyDescent="0.2">
      <c r="A41" s="5">
        <v>28</v>
      </c>
      <c r="B41" s="20"/>
      <c r="C41" s="3"/>
      <c r="F41" s="4"/>
      <c r="G41" s="4"/>
      <c r="H41" s="4"/>
      <c r="I41" s="4"/>
      <c r="J41" s="6"/>
      <c r="K41" s="4"/>
      <c r="L41" s="6"/>
      <c r="M41" s="4"/>
      <c r="N41" s="4" t="s">
        <v>47</v>
      </c>
      <c r="O41" s="4"/>
      <c r="P41" s="4"/>
      <c r="Q41" s="4"/>
      <c r="R41" s="4"/>
      <c r="S41" s="4"/>
    </row>
    <row r="42" spans="1:19" ht="14.1" customHeight="1" x14ac:dyDescent="0.2">
      <c r="A42" s="5">
        <v>32</v>
      </c>
      <c r="B42" s="21"/>
      <c r="C42" s="3"/>
      <c r="F42" s="4"/>
      <c r="G42" s="4"/>
      <c r="H42" s="4"/>
      <c r="I42" s="4"/>
      <c r="J42" s="6"/>
      <c r="K42" s="4"/>
      <c r="L42" s="6"/>
      <c r="M42" s="4"/>
      <c r="O42" s="4"/>
      <c r="P42" s="4"/>
      <c r="Q42" s="4"/>
      <c r="R42" s="4"/>
      <c r="S42" s="4"/>
    </row>
    <row r="43" spans="1:19" ht="14.1" customHeight="1" x14ac:dyDescent="0.2">
      <c r="A43" s="5">
        <v>33</v>
      </c>
      <c r="B43" s="20"/>
      <c r="C43" s="3" t="s">
        <v>48</v>
      </c>
      <c r="F43" s="4"/>
      <c r="G43" s="4"/>
      <c r="H43" s="4"/>
      <c r="I43" s="4" t="e">
        <f>#REF!/1000</f>
        <v>#REF!</v>
      </c>
      <c r="J43" s="6" t="s">
        <v>39</v>
      </c>
      <c r="K43" s="4"/>
      <c r="L43" s="6"/>
      <c r="M43" s="4"/>
      <c r="N43" s="4" t="s">
        <v>155</v>
      </c>
      <c r="O43" s="4"/>
      <c r="P43" s="4"/>
      <c r="Q43" s="4"/>
      <c r="R43" s="4"/>
      <c r="S43" s="4"/>
    </row>
    <row r="44" spans="1:19" ht="14.1" customHeight="1" x14ac:dyDescent="0.2">
      <c r="A44" s="5">
        <v>34</v>
      </c>
      <c r="B44" s="20"/>
      <c r="C44" s="3" t="s">
        <v>51</v>
      </c>
      <c r="F44" s="4"/>
      <c r="G44" s="4"/>
      <c r="H44" s="4"/>
      <c r="I44" s="4"/>
      <c r="J44" s="6"/>
      <c r="K44" s="4"/>
      <c r="L44" s="6"/>
      <c r="M44" s="4"/>
      <c r="N44" s="5" t="s">
        <v>43</v>
      </c>
      <c r="O44" s="4"/>
      <c r="P44" s="4"/>
      <c r="Q44" s="4"/>
      <c r="R44" s="4"/>
      <c r="S44" s="4"/>
    </row>
    <row r="45" spans="1:19" ht="14.1" customHeight="1" x14ac:dyDescent="0.2">
      <c r="A45" s="5">
        <v>35</v>
      </c>
      <c r="B45" s="20"/>
      <c r="C45" s="3" t="s">
        <v>154</v>
      </c>
      <c r="F45" s="4"/>
      <c r="G45" s="4"/>
      <c r="H45" s="4"/>
      <c r="I45" s="4"/>
      <c r="J45" s="6"/>
      <c r="K45" s="4"/>
      <c r="L45" s="6"/>
      <c r="M45" s="4"/>
      <c r="N45" s="5" t="s">
        <v>45</v>
      </c>
      <c r="O45" s="4"/>
      <c r="P45" s="4"/>
      <c r="Q45" s="4"/>
      <c r="R45" s="4"/>
      <c r="S45" s="4"/>
    </row>
    <row r="46" spans="1:19" ht="14.1" customHeight="1" x14ac:dyDescent="0.2">
      <c r="A46" s="5">
        <v>36</v>
      </c>
      <c r="B46" s="20"/>
      <c r="C46" s="3" t="s">
        <v>156</v>
      </c>
      <c r="F46" s="4"/>
      <c r="G46" s="4"/>
      <c r="H46" s="4"/>
      <c r="I46" s="4"/>
      <c r="J46" s="6"/>
      <c r="K46" s="4"/>
      <c r="L46" s="6"/>
      <c r="M46" s="4"/>
      <c r="O46" s="4"/>
      <c r="P46" s="4"/>
      <c r="Q46" s="4"/>
      <c r="R46" s="4"/>
      <c r="S46" s="4"/>
    </row>
    <row r="47" spans="1:19" ht="14.1" customHeight="1" x14ac:dyDescent="0.2">
      <c r="A47" s="5">
        <v>37</v>
      </c>
      <c r="B47" s="20"/>
      <c r="C47" s="3"/>
      <c r="F47" s="4"/>
      <c r="G47" s="4"/>
      <c r="H47" s="4"/>
      <c r="I47" s="4"/>
      <c r="J47" s="6"/>
      <c r="K47" s="4"/>
      <c r="L47" s="6"/>
      <c r="M47" s="4"/>
      <c r="O47" s="4"/>
      <c r="P47" s="4"/>
      <c r="Q47" s="4"/>
      <c r="R47" s="4"/>
      <c r="S47" s="4"/>
    </row>
    <row r="48" spans="1:19" ht="14.1" customHeight="1" x14ac:dyDescent="0.2">
      <c r="A48" s="5">
        <v>38</v>
      </c>
      <c r="B48" s="20"/>
      <c r="C48" s="3" t="s">
        <v>48</v>
      </c>
      <c r="F48" s="4"/>
      <c r="G48" s="4"/>
      <c r="H48" s="4"/>
      <c r="I48" s="4" t="e">
        <f>#REF!/1000</f>
        <v>#REF!</v>
      </c>
      <c r="J48" s="6" t="s">
        <v>39</v>
      </c>
      <c r="K48" s="4"/>
      <c r="L48" s="6"/>
      <c r="M48" s="4"/>
      <c r="N48" s="4" t="s">
        <v>157</v>
      </c>
      <c r="O48" s="4"/>
      <c r="P48" s="4"/>
      <c r="Q48" s="4"/>
      <c r="R48" s="4"/>
      <c r="S48" s="4"/>
    </row>
    <row r="49" spans="1:19" ht="14.1" customHeight="1" x14ac:dyDescent="0.2">
      <c r="A49" s="5">
        <v>39</v>
      </c>
      <c r="B49" s="20"/>
      <c r="C49" s="3" t="s">
        <v>55</v>
      </c>
      <c r="F49" s="4"/>
      <c r="G49" s="4"/>
      <c r="H49" s="4"/>
      <c r="I49" s="4"/>
      <c r="J49" s="6"/>
      <c r="K49" s="4"/>
      <c r="L49" s="6"/>
      <c r="M49" s="4"/>
      <c r="N49" s="5" t="s">
        <v>43</v>
      </c>
      <c r="O49" s="4"/>
      <c r="P49" s="4"/>
      <c r="Q49" s="4"/>
      <c r="R49" s="4"/>
      <c r="S49" s="4"/>
    </row>
    <row r="50" spans="1:19" ht="14.1" customHeight="1" x14ac:dyDescent="0.2">
      <c r="A50" s="5">
        <v>40</v>
      </c>
      <c r="B50" s="20"/>
      <c r="C50" s="3" t="s">
        <v>154</v>
      </c>
      <c r="F50" s="4"/>
      <c r="G50" s="4"/>
      <c r="H50" s="4"/>
      <c r="I50" s="4"/>
      <c r="J50" s="6"/>
      <c r="K50" s="4"/>
      <c r="L50" s="6"/>
      <c r="M50" s="4"/>
      <c r="N50" s="5" t="s">
        <v>45</v>
      </c>
      <c r="O50" s="4"/>
      <c r="P50" s="4"/>
      <c r="Q50" s="4"/>
      <c r="R50" s="4"/>
      <c r="S50" s="4"/>
    </row>
    <row r="51" spans="1:19" ht="14.1" customHeight="1" x14ac:dyDescent="0.2">
      <c r="A51" s="5">
        <v>41</v>
      </c>
      <c r="B51" s="20"/>
      <c r="C51" s="3" t="s">
        <v>156</v>
      </c>
      <c r="F51" s="4"/>
      <c r="G51" s="4"/>
      <c r="H51" s="4"/>
      <c r="I51" s="4"/>
      <c r="J51" s="6"/>
      <c r="K51" s="4"/>
      <c r="L51" s="6"/>
      <c r="M51" s="4"/>
      <c r="N51" s="4"/>
      <c r="O51" s="4"/>
      <c r="P51" s="4"/>
      <c r="Q51" s="4"/>
      <c r="R51" s="4"/>
      <c r="S51" s="4"/>
    </row>
    <row r="52" spans="1:19" ht="14.1" customHeight="1" x14ac:dyDescent="0.2">
      <c r="A52" s="5">
        <v>42</v>
      </c>
      <c r="B52" s="20"/>
      <c r="C52" s="3"/>
      <c r="F52" s="4"/>
      <c r="G52" s="4"/>
      <c r="H52" s="4"/>
      <c r="I52" s="4"/>
      <c r="J52" s="6"/>
      <c r="K52" s="4"/>
      <c r="L52" s="6"/>
      <c r="M52" s="4"/>
      <c r="N52" s="4"/>
      <c r="O52" s="4"/>
      <c r="P52" s="4"/>
      <c r="Q52" s="4"/>
      <c r="R52" s="4"/>
      <c r="S52" s="4"/>
    </row>
    <row r="53" spans="1:19" ht="14.1" customHeight="1" x14ac:dyDescent="0.2">
      <c r="A53" s="5">
        <v>43</v>
      </c>
      <c r="B53" s="20"/>
      <c r="C53" s="3"/>
      <c r="F53" s="4"/>
      <c r="G53" s="4"/>
      <c r="H53" s="4"/>
      <c r="I53" s="4"/>
      <c r="J53" s="6"/>
      <c r="K53" s="4"/>
      <c r="L53" s="6"/>
      <c r="M53" s="4"/>
      <c r="N53" s="4"/>
      <c r="O53" s="4"/>
      <c r="P53" s="4"/>
      <c r="Q53" s="4"/>
      <c r="R53" s="4"/>
      <c r="S53" s="4"/>
    </row>
    <row r="54" spans="1:19" ht="14.1" customHeight="1" x14ac:dyDescent="0.2">
      <c r="A54" s="5">
        <v>44</v>
      </c>
      <c r="B54" s="20"/>
      <c r="C54" s="3"/>
      <c r="F54" s="4"/>
      <c r="G54" s="4"/>
      <c r="H54" s="4"/>
      <c r="I54" s="4"/>
      <c r="J54" s="6"/>
      <c r="K54" s="4"/>
      <c r="L54" s="6"/>
      <c r="M54" s="4"/>
      <c r="N54" s="4"/>
      <c r="O54" s="4"/>
      <c r="P54" s="4"/>
      <c r="Q54" s="4"/>
      <c r="R54" s="4"/>
      <c r="S54" s="4"/>
    </row>
    <row r="55" spans="1:19" ht="14.1" customHeight="1" x14ac:dyDescent="0.2">
      <c r="A55" s="5">
        <v>45</v>
      </c>
      <c r="B55" s="20"/>
      <c r="C55" s="3"/>
      <c r="F55" s="4"/>
      <c r="G55" s="4"/>
      <c r="H55" s="4"/>
      <c r="I55" s="4"/>
      <c r="J55" s="6"/>
      <c r="K55" s="4"/>
      <c r="L55" s="6"/>
      <c r="M55" s="4"/>
      <c r="N55" s="4"/>
      <c r="O55" s="4"/>
      <c r="P55" s="4"/>
      <c r="Q55" s="4"/>
      <c r="R55" s="4"/>
      <c r="S55" s="4"/>
    </row>
    <row r="56" spans="1:19" ht="14.1" customHeight="1" x14ac:dyDescent="0.2">
      <c r="A56" s="5">
        <v>46</v>
      </c>
      <c r="B56" s="20"/>
      <c r="C56" s="3"/>
      <c r="F56" s="4"/>
      <c r="G56" s="4"/>
      <c r="H56" s="4"/>
      <c r="I56" s="4"/>
      <c r="J56" s="6"/>
      <c r="K56" s="4"/>
      <c r="L56" s="6"/>
      <c r="M56" s="4"/>
      <c r="N56" s="4"/>
      <c r="O56" s="4"/>
      <c r="P56" s="4"/>
      <c r="Q56" s="4"/>
      <c r="R56" s="4"/>
      <c r="S56" s="4"/>
    </row>
    <row r="57" spans="1:19" ht="14.1" customHeight="1" x14ac:dyDescent="0.2">
      <c r="A57" s="5">
        <v>47</v>
      </c>
      <c r="B57" s="20"/>
      <c r="C57" s="3"/>
      <c r="F57" s="4"/>
      <c r="G57" s="4"/>
      <c r="H57" s="4"/>
      <c r="I57" s="4"/>
      <c r="J57" s="6"/>
      <c r="K57" s="4"/>
      <c r="L57" s="6"/>
      <c r="M57" s="4"/>
      <c r="N57" s="4"/>
      <c r="O57" s="4"/>
      <c r="P57" s="4"/>
      <c r="Q57" s="4"/>
      <c r="R57" s="4"/>
      <c r="S57" s="4"/>
    </row>
    <row r="58" spans="1:19" ht="14.1" customHeight="1" x14ac:dyDescent="0.2">
      <c r="A58" s="5">
        <v>48</v>
      </c>
      <c r="B58" s="20"/>
      <c r="C58" s="3"/>
      <c r="F58" s="4"/>
      <c r="G58" s="4"/>
      <c r="H58" s="4"/>
      <c r="I58" s="4"/>
      <c r="J58" s="6"/>
      <c r="K58" s="4"/>
      <c r="L58" s="6"/>
      <c r="M58" s="4"/>
      <c r="N58" s="4"/>
      <c r="O58" s="4"/>
      <c r="P58" s="4"/>
      <c r="Q58" s="4"/>
      <c r="R58" s="4"/>
      <c r="S58" s="4"/>
    </row>
    <row r="59" spans="1:19" ht="14.1" customHeight="1" x14ac:dyDescent="0.2">
      <c r="A59" s="5">
        <v>49</v>
      </c>
      <c r="B59" s="20"/>
      <c r="C59" s="3"/>
      <c r="F59" s="4"/>
      <c r="G59" s="4"/>
      <c r="H59" s="4"/>
      <c r="I59" s="4"/>
      <c r="J59" s="6"/>
      <c r="K59" s="4"/>
      <c r="L59" s="6"/>
      <c r="M59" s="4"/>
      <c r="N59" s="4"/>
      <c r="O59" s="4"/>
      <c r="P59" s="4"/>
      <c r="Q59" s="4"/>
      <c r="R59" s="4"/>
      <c r="S59" s="4"/>
    </row>
    <row r="60" spans="1:19" ht="14.1" customHeight="1" x14ac:dyDescent="0.2">
      <c r="A60" s="5">
        <v>50</v>
      </c>
      <c r="B60" s="20"/>
      <c r="C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4.1" customHeight="1" thickBot="1" x14ac:dyDescent="0.25">
      <c r="A61" s="5">
        <v>51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4.1" customHeight="1" x14ac:dyDescent="0.2">
      <c r="A62" s="5" t="s">
        <v>62</v>
      </c>
      <c r="Q62" s="5" t="s">
        <v>63</v>
      </c>
    </row>
  </sheetData>
  <printOptions horizontalCentered="1" verticalCentered="1"/>
  <pageMargins left="0.5" right="0.5" top="0.75" bottom="0.35" header="0.5" footer="0.25"/>
  <pageSetup scale="77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8A55-B199-49B4-A486-3F0264921EF6}">
  <sheetPr codeName="Sheet2">
    <outlinePr showOutlineSymbols="0"/>
    <pageSetUpPr fitToPage="1"/>
  </sheetPr>
  <dimension ref="A1:AC679"/>
  <sheetViews>
    <sheetView showGridLines="0" showOutlineSymbols="0" zoomScale="70" zoomScaleNormal="70" workbookViewId="0">
      <pane xSplit="15" ySplit="32" topLeftCell="U491" activePane="bottomRight" state="frozen"/>
      <selection pane="topRight" activeCell="P20" sqref="P20"/>
      <selection pane="bottomLeft" activeCell="I32" sqref="I32"/>
      <selection pane="bottomRight" activeCell="L22" sqref="L22"/>
    </sheetView>
  </sheetViews>
  <sheetFormatPr defaultColWidth="20.6640625" defaultRowHeight="15" customHeight="1" outlineLevelRow="1" outlineLevelCol="1" x14ac:dyDescent="0.2"/>
  <cols>
    <col min="1" max="1" width="15.6640625" style="213" hidden="1" customWidth="1" outlineLevel="1"/>
    <col min="2" max="2" width="20.6640625" style="213" hidden="1" customWidth="1" outlineLevel="1"/>
    <col min="3" max="4" width="15.6640625" style="213" hidden="1" customWidth="1" outlineLevel="1"/>
    <col min="5" max="5" width="18.5546875" style="213" hidden="1" customWidth="1" outlineLevel="1"/>
    <col min="6" max="6" width="12.6640625" style="213" hidden="1" customWidth="1" outlineLevel="1"/>
    <col min="7" max="7" width="12.33203125" style="213" hidden="1" customWidth="1" outlineLevel="1"/>
    <col min="8" max="8" width="12.33203125" style="213" hidden="1" customWidth="1" outlineLevel="1" collapsed="1"/>
    <col min="9" max="9" width="2.6640625" style="213" customWidth="1" collapsed="1"/>
    <col min="10" max="10" width="14.6640625" style="213" customWidth="1"/>
    <col min="11" max="11" width="46.6640625" style="213" customWidth="1"/>
    <col min="12" max="12" width="50.6640625" style="213" customWidth="1"/>
    <col min="13" max="14" width="20.6640625" style="213" hidden="1" customWidth="1"/>
    <col min="15" max="15" width="20.6640625" style="213" customWidth="1"/>
    <col min="16" max="27" width="20.6640625" style="213"/>
    <col min="28" max="29" width="20.6640625" style="213" hidden="1" customWidth="1"/>
    <col min="30" max="30" width="20.6640625" style="213" customWidth="1"/>
    <col min="31" max="16384" width="20.6640625" style="213"/>
  </cols>
  <sheetData>
    <row r="1" spans="1:28" ht="15" hidden="1" customHeight="1" outlineLevel="1" thickBot="1" x14ac:dyDescent="0.45">
      <c r="A1" s="211" t="s">
        <v>158</v>
      </c>
      <c r="B1" s="212" t="str">
        <f>_xll.EPMReportID(B10)</f>
        <v>000</v>
      </c>
      <c r="D1" s="214" t="s">
        <v>159</v>
      </c>
      <c r="E1" s="215" t="s">
        <v>160</v>
      </c>
      <c r="G1" s="213" t="s">
        <v>161</v>
      </c>
      <c r="H1" s="213" t="str">
        <f>_xll.EPMSelectMember("","[C_ACCOUNT].[PARENTH1].[TRIAL_BALANCE]","","",FALSE)</f>
        <v>TRIAL_BALANCE</v>
      </c>
      <c r="I1" s="216" t="s">
        <v>162</v>
      </c>
      <c r="J1" s="217" t="str">
        <f>IF($G$5=FALSE,$H$4&amp;",LDEP(3,"&amp;$H$4&amp;") AND CALC=Y",$H$4&amp;",LDEP(3,"&amp;$H$4&amp;")"&amp;$H$5)</f>
        <v>TRIAL_BALANCE,LDEP(3,TRIAL_BALANCE) AND CALC=Y</v>
      </c>
      <c r="K1" s="217"/>
      <c r="L1" s="217"/>
      <c r="M1" s="217"/>
      <c r="N1" s="217"/>
      <c r="O1" s="217"/>
      <c r="P1" s="218" t="s">
        <v>163</v>
      </c>
      <c r="Q1" s="219" t="str">
        <f>IF(R1=1,"TRUE","FALSE")</f>
        <v>TRUE</v>
      </c>
      <c r="R1" s="219">
        <v>1</v>
      </c>
    </row>
    <row r="2" spans="1:28" ht="15" hidden="1" customHeight="1" outlineLevel="1" thickBot="1" x14ac:dyDescent="0.45">
      <c r="A2" s="211" t="s">
        <v>164</v>
      </c>
      <c r="B2" s="220" t="s">
        <v>161</v>
      </c>
      <c r="D2" s="221" t="s">
        <v>165</v>
      </c>
      <c r="E2" s="215" t="s">
        <v>160</v>
      </c>
      <c r="G2" s="213" t="s">
        <v>166</v>
      </c>
      <c r="H2" s="213" t="str">
        <f>_xll.EPMSelectMember("","[C_ACCOUNT].[PARENTH4].[E_TRIAL_BALANCE]","","",FALSE)</f>
        <v>E_TRIAL_BALANCE</v>
      </c>
      <c r="I2" s="216" t="s">
        <v>167</v>
      </c>
      <c r="J2" s="217" t="str">
        <f>IF($G$5=FALSE,$H$4&amp;",LDEP(5,"&amp;$H$4&amp;") AND CALC=Y",$H$4&amp;",LDEP(5,"&amp;$H$4&amp;")"&amp;$H$5)</f>
        <v>TRIAL_BALANCE,LDEP(5,TRIAL_BALANCE) AND CALC=Y</v>
      </c>
      <c r="K2" s="217"/>
      <c r="L2" s="217"/>
      <c r="M2" s="217"/>
      <c r="N2" s="217"/>
      <c r="O2" s="217"/>
      <c r="P2" s="218" t="s">
        <v>168</v>
      </c>
      <c r="Q2" s="222" t="str">
        <f>_xll.EPMReportOptions("000",IF(R1=1,"KeepEmptyRows =RemoveEmptyandZero","KeepEmptyRows =True"))</f>
        <v>EPMReportOptions on report 000</v>
      </c>
      <c r="R2" s="222" t="b">
        <v>0</v>
      </c>
    </row>
    <row r="3" spans="1:28" ht="15" hidden="1" customHeight="1" outlineLevel="1" thickBot="1" x14ac:dyDescent="0.25">
      <c r="A3" s="211" t="s">
        <v>169</v>
      </c>
      <c r="B3" s="223" t="s">
        <v>170</v>
      </c>
      <c r="D3" s="224" t="s">
        <v>171</v>
      </c>
      <c r="G3" s="213" t="s">
        <v>172</v>
      </c>
      <c r="H3" s="213" t="str">
        <f>_xll.EPMSelectMember("","[C_ACCOUNT].[PARENTH4].[E_TRIAL_BALANCE]","","",FALSE)</f>
        <v>E_TRIAL_BALANCE</v>
      </c>
      <c r="I3" s="216" t="s">
        <v>173</v>
      </c>
      <c r="J3" s="217" t="str">
        <f>IF($G$5=FALSE,$H$4&amp;",LDEP(99,"&amp;$H$4&amp;")",$H$4&amp;",LDEP(99,"&amp;$H$4&amp;")"&amp;$H$5)</f>
        <v>TRIAL_BALANCE,LDEP(99,TRIAL_BALANCE)</v>
      </c>
      <c r="K3" s="225"/>
      <c r="L3" s="226"/>
      <c r="M3" s="226"/>
      <c r="N3" s="227"/>
      <c r="O3" s="227"/>
    </row>
    <row r="4" spans="1:28" ht="15" hidden="1" customHeight="1" outlineLevel="1" thickBot="1" x14ac:dyDescent="0.3">
      <c r="D4" s="228" t="s">
        <v>174</v>
      </c>
      <c r="E4" s="229" t="s">
        <v>175</v>
      </c>
      <c r="F4" s="229"/>
      <c r="H4" s="217" t="str">
        <f>VLOOKUP(L21,$G$1:$H$3,2,FALSE)</f>
        <v>TRIAL_BALANCE</v>
      </c>
      <c r="I4" s="229"/>
      <c r="J4" s="230" t="s">
        <v>176</v>
      </c>
      <c r="K4" s="231"/>
      <c r="L4" s="232" t="str">
        <f>IF(_xll.EPMMemberProperty(,$K4,"calc")="N","E",_xll.EPMMemberProperty(,$J4,"calc"))</f>
        <v>Y</v>
      </c>
      <c r="M4" s="232" t="str">
        <f>_xll.EPMMemberProperty(,$J4,"HLEVEL")</f>
        <v>7</v>
      </c>
      <c r="N4" s="232"/>
      <c r="O4" s="232"/>
      <c r="P4" s="233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</row>
    <row r="5" spans="1:28" ht="15" hidden="1" customHeight="1" outlineLevel="1" thickBot="1" x14ac:dyDescent="0.3">
      <c r="A5" s="211" t="s">
        <v>177</v>
      </c>
      <c r="B5" s="234" t="s">
        <v>178</v>
      </c>
      <c r="C5" s="235" t="s">
        <v>179</v>
      </c>
      <c r="D5" s="236"/>
      <c r="G5" s="229" t="b">
        <v>0</v>
      </c>
      <c r="H5" s="229" t="s">
        <v>180</v>
      </c>
      <c r="J5" s="237" t="s">
        <v>181</v>
      </c>
      <c r="K5" s="238" t="s">
        <v>182</v>
      </c>
    </row>
    <row r="6" spans="1:28" ht="15" hidden="1" customHeight="1" outlineLevel="1" thickBot="1" x14ac:dyDescent="0.25">
      <c r="A6" s="211" t="s">
        <v>183</v>
      </c>
      <c r="B6" s="234" t="s">
        <v>184</v>
      </c>
      <c r="C6" s="235" t="s">
        <v>185</v>
      </c>
      <c r="D6" s="213" t="str">
        <f>IFERROR(VLOOKUP(LEFT(L24,4),$E$6:$F$7,2,FALSE),"ACTUAL")</f>
        <v>WKG_BUDGET</v>
      </c>
      <c r="E6" s="239" t="str">
        <f>_xll.EPMMemberProperty(,F6,"YEAR")</f>
        <v>2021</v>
      </c>
      <c r="F6" s="240" t="str">
        <f>_xll.EPMSelectMember("","[CATEGORY].[PARENTH1].[WKG_BUDGET]","","",FALSE)</f>
        <v>WKG_BUDGET</v>
      </c>
    </row>
    <row r="7" spans="1:28" ht="15" hidden="1" customHeight="1" outlineLevel="1" thickBot="1" x14ac:dyDescent="0.35">
      <c r="A7" s="211" t="s">
        <v>186</v>
      </c>
      <c r="B7" s="241"/>
      <c r="C7" s="235" t="s">
        <v>187</v>
      </c>
      <c r="D7" s="213" t="str">
        <f>IF($L$23="E_E410","E10000","1001")</f>
        <v>1001</v>
      </c>
      <c r="E7" s="239" t="str">
        <f>_xll.EPMMemberProperty(,F7,"YEAR")</f>
        <v>2020</v>
      </c>
      <c r="F7" s="240" t="str">
        <f>_xll.EPMSelectMember("","[CATEGORY].[PARENTH1].[FORECAST]","","",FALSE)</f>
        <v>FORECAST</v>
      </c>
    </row>
    <row r="8" spans="1:28" ht="15" hidden="1" customHeight="1" outlineLevel="1" thickBot="1" x14ac:dyDescent="0.45">
      <c r="A8" s="211" t="s">
        <v>188</v>
      </c>
      <c r="B8" s="234" t="s">
        <v>184</v>
      </c>
      <c r="C8" s="235" t="s">
        <v>185</v>
      </c>
      <c r="E8" s="239" t="str">
        <f>E7&amp;".TOTAL"</f>
        <v>2020.TOTAL</v>
      </c>
      <c r="F8" s="240" t="str">
        <f>VLOOKUP("CURRENT",$E$9:$F$20,2,FALSE)</f>
        <v>FCST_9_3</v>
      </c>
      <c r="O8" s="242" t="s">
        <v>189</v>
      </c>
    </row>
    <row r="9" spans="1:28" ht="15" hidden="1" customHeight="1" outlineLevel="1" thickBot="1" x14ac:dyDescent="0.25">
      <c r="A9" s="211" t="s">
        <v>190</v>
      </c>
      <c r="B9" s="243" t="str">
        <f xml:space="preserve"> _xll.EPMOlapMemberO(B16,"[ENTITY].[PARENTH1].[E_2201]","E_2201","","000")</f>
        <v>E_2201</v>
      </c>
      <c r="C9" s="235" t="s">
        <v>191</v>
      </c>
      <c r="E9" s="239" t="str">
        <f>_xll.EPMMemberProperty(,F9,"COMPARISON")</f>
        <v/>
      </c>
      <c r="F9" s="240" t="str">
        <f>_xll.EPMSelectMember("","[CATEGORY].[PARENTH1].[FCST_0_12]","","",FALSE)</f>
        <v>FCST_0_12</v>
      </c>
      <c r="O9" s="244" t="s">
        <v>192</v>
      </c>
    </row>
    <row r="10" spans="1:28" ht="15" hidden="1" customHeight="1" outlineLevel="1" thickBot="1" x14ac:dyDescent="0.25">
      <c r="A10" s="211" t="s">
        <v>193</v>
      </c>
      <c r="B10" s="243" t="str">
        <f xml:space="preserve"> _xll.EPMOlapMemberO("[FLOW].[PARENTH1].[NO_FLOW]","","NO_FLOW","","000")</f>
        <v>NO_FLOW</v>
      </c>
      <c r="C10" s="235" t="s">
        <v>187</v>
      </c>
      <c r="E10" s="239" t="str">
        <f>_xll.EPMMemberProperty(,F10,"COMPARISON")</f>
        <v/>
      </c>
      <c r="F10" s="240" t="str">
        <f>_xll.EPMSelectMember("","[CATEGORY].[PARENTH1].[FCST_1_11]","","",FALSE)</f>
        <v>FCST_1_11</v>
      </c>
      <c r="O10" s="244" t="s">
        <v>183</v>
      </c>
    </row>
    <row r="11" spans="1:28" ht="15" hidden="1" customHeight="1" outlineLevel="1" thickBot="1" x14ac:dyDescent="0.25">
      <c r="A11" s="211" t="s">
        <v>194</v>
      </c>
      <c r="B11" s="243" t="str">
        <f xml:space="preserve"> _xll.EPMOlapMemberO("[I_ENTITY].[PARENTH1].[ALL_IE_ENTITIES]","","ALL_IE_ENTITIES","","000")</f>
        <v>ALL_IE_ENTITIES</v>
      </c>
      <c r="C11" s="235" t="s">
        <v>187</v>
      </c>
      <c r="E11" s="239" t="str">
        <f>_xll.EPMMemberProperty(,F11,"COMPARISON")</f>
        <v/>
      </c>
      <c r="F11" s="240" t="str">
        <f>_xll.EPMSelectMember("","[CATEGORY].[PARENTH1].[FCST_2_10]","","",FALSE)</f>
        <v>FCST_2_10</v>
      </c>
      <c r="O11" s="244" t="e">
        <f>eom</f>
        <v>#NAME?</v>
      </c>
      <c r="P11" s="213" t="str">
        <f>_xll.EPMMemberProperty(,P16,"CURRENTMONTH")</f>
        <v>WB</v>
      </c>
      <c r="Q11" s="213" t="str">
        <f>_xll.EPMMemberProperty(,Q16,"CURRENTMONTH")</f>
        <v>WB</v>
      </c>
      <c r="R11" s="213" t="str">
        <f>_xll.EPMMemberProperty(,R16,"CURRENTMONTH")</f>
        <v>WB</v>
      </c>
      <c r="S11" s="213" t="str">
        <f>_xll.EPMMemberProperty(,S16,"CURRENTMONTH")</f>
        <v>WB</v>
      </c>
      <c r="T11" s="213" t="str">
        <f>_xll.EPMMemberProperty(,T16,"CURRENTMONTH")</f>
        <v>WB</v>
      </c>
      <c r="U11" s="213" t="str">
        <f>_xll.EPMMemberProperty(,U16,"CURRENTMONTH")</f>
        <v>WB</v>
      </c>
      <c r="V11" s="213" t="str">
        <f>_xll.EPMMemberProperty(,V16,"CURRENTMONTH")</f>
        <v>WB</v>
      </c>
      <c r="W11" s="213" t="str">
        <f>_xll.EPMMemberProperty(,W16,"CURRENTMONTH")</f>
        <v>WB</v>
      </c>
      <c r="X11" s="213" t="str">
        <f>_xll.EPMMemberProperty(,X16,"CURRENTMONTH")</f>
        <v>WB</v>
      </c>
      <c r="Y11" s="213" t="str">
        <f>_xll.EPMMemberProperty(,Y16,"CURRENTMONTH")</f>
        <v>WB</v>
      </c>
      <c r="Z11" s="213" t="str">
        <f>_xll.EPMMemberProperty(,Z16,"CURRENTMONTH")</f>
        <v>WB</v>
      </c>
      <c r="AA11" s="213" t="str">
        <f>_xll.EPMMemberProperty(,AA16,"CURRENTMONTH")</f>
        <v>WB</v>
      </c>
    </row>
    <row r="12" spans="1:28" ht="15" hidden="1" customHeight="1" outlineLevel="1" thickBot="1" x14ac:dyDescent="0.25">
      <c r="A12" s="211" t="s">
        <v>195</v>
      </c>
      <c r="B12" s="243" t="str">
        <f xml:space="preserve"> _xll.EPMOlapMemberO("[RPTCURRENCY].[].[LC]","","LC","","000")</f>
        <v>LC</v>
      </c>
      <c r="C12" s="235" t="s">
        <v>187</v>
      </c>
      <c r="E12" s="239" t="str">
        <f>_xll.EPMMemberProperty(,F12,"COMPARISON")</f>
        <v/>
      </c>
      <c r="F12" s="240" t="str">
        <f>_xll.EPMSelectMember("","[CATEGORY].[PARENTH1].[FCST_3_9]","","",FALSE)</f>
        <v>FCST_3_9</v>
      </c>
      <c r="H12" s="213" t="s">
        <v>196</v>
      </c>
      <c r="O12" s="245" t="s">
        <v>197</v>
      </c>
      <c r="P12" s="245" t="s">
        <v>197</v>
      </c>
      <c r="Q12" s="245" t="s">
        <v>198</v>
      </c>
      <c r="R12" s="245" t="s">
        <v>199</v>
      </c>
      <c r="S12" s="245" t="s">
        <v>200</v>
      </c>
      <c r="T12" s="245" t="s">
        <v>201</v>
      </c>
      <c r="U12" s="245" t="s">
        <v>202</v>
      </c>
      <c r="V12" s="245" t="s">
        <v>203</v>
      </c>
      <c r="W12" s="245" t="s">
        <v>204</v>
      </c>
      <c r="X12" s="245" t="s">
        <v>205</v>
      </c>
      <c r="Y12" s="245" t="s">
        <v>206</v>
      </c>
      <c r="Z12" s="245" t="s">
        <v>207</v>
      </c>
      <c r="AA12" s="245" t="s">
        <v>208</v>
      </c>
      <c r="AB12" s="245" t="s">
        <v>99</v>
      </c>
    </row>
    <row r="13" spans="1:28" ht="15" hidden="1" customHeight="1" outlineLevel="1" thickBot="1" x14ac:dyDescent="0.25">
      <c r="A13" s="211" t="s">
        <v>192</v>
      </c>
      <c r="B13" s="234" t="s">
        <v>184</v>
      </c>
      <c r="C13" s="235" t="s">
        <v>185</v>
      </c>
      <c r="E13" s="239" t="str">
        <f>_xll.EPMMemberProperty(,F13,"COMPARISON")</f>
        <v/>
      </c>
      <c r="F13" s="240" t="str">
        <f>_xll.EPMSelectMember("","[CATEGORY].[PARENTH1].[FCST_4_8]","","",FALSE)</f>
        <v>FCST_4_8</v>
      </c>
      <c r="M13" s="246" t="str">
        <f>M32</f>
        <v>2021.DEC</v>
      </c>
      <c r="N13" s="246" t="str">
        <f>N32</f>
        <v>2021.DEC</v>
      </c>
      <c r="O13" s="247" t="str">
        <f>LEFT($L$24,5)-1&amp;".DEC"</f>
        <v>2020.DEC</v>
      </c>
      <c r="P13" s="247" t="str">
        <f t="shared" ref="P13:AB13" si="0">LEFT($L$24,5)&amp;P12</f>
        <v>2021.JAN</v>
      </c>
      <c r="Q13" s="247" t="str">
        <f t="shared" si="0"/>
        <v>2021.FEB</v>
      </c>
      <c r="R13" s="247" t="str">
        <f t="shared" si="0"/>
        <v>2021.MAR</v>
      </c>
      <c r="S13" s="247" t="str">
        <f t="shared" si="0"/>
        <v>2021.APR</v>
      </c>
      <c r="T13" s="247" t="str">
        <f t="shared" si="0"/>
        <v>2021.MAY</v>
      </c>
      <c r="U13" s="247" t="str">
        <f t="shared" si="0"/>
        <v>2021.JUN</v>
      </c>
      <c r="V13" s="247" t="str">
        <f t="shared" si="0"/>
        <v>2021.JUL</v>
      </c>
      <c r="W13" s="247" t="str">
        <f t="shared" si="0"/>
        <v>2021.AUG</v>
      </c>
      <c r="X13" s="247" t="str">
        <f t="shared" si="0"/>
        <v>2021.SEP</v>
      </c>
      <c r="Y13" s="247" t="str">
        <f t="shared" si="0"/>
        <v>2021.OCT</v>
      </c>
      <c r="Z13" s="247" t="str">
        <f t="shared" si="0"/>
        <v>2021.NOV</v>
      </c>
      <c r="AA13" s="247" t="str">
        <f t="shared" si="0"/>
        <v>2021.DEC</v>
      </c>
      <c r="AB13" s="247" t="str">
        <f t="shared" si="0"/>
        <v>2021.TOTAL</v>
      </c>
    </row>
    <row r="14" spans="1:28" ht="15" hidden="1" customHeight="1" outlineLevel="1" thickBot="1" x14ac:dyDescent="0.25">
      <c r="A14" s="248" t="s">
        <v>209</v>
      </c>
      <c r="B14" s="243" t="str">
        <f xml:space="preserve"> _xll.EPMOlapMemberO(D15,"[MEASURES].[].[PERIODIC]","PERIODIC","","000")</f>
        <v>PERIODIC</v>
      </c>
      <c r="C14" s="235" t="s">
        <v>187</v>
      </c>
      <c r="D14" s="213" t="b">
        <v>0</v>
      </c>
      <c r="E14" s="239" t="str">
        <f>_xll.EPMMemberProperty(,F14,"COMPARISON")</f>
        <v/>
      </c>
      <c r="F14" s="240" t="str">
        <f>_xll.EPMSelectMember("","[CATEGORY].[PARENTH1].[FCST_5_7]","","",FALSE)</f>
        <v>FCST_5_7</v>
      </c>
      <c r="M14" s="246" t="str">
        <f>M31</f>
        <v>FCST_9_3</v>
      </c>
      <c r="N14" s="246" t="str">
        <f>N31</f>
        <v>FNL_BUDGET</v>
      </c>
      <c r="O14" s="249" t="s">
        <v>210</v>
      </c>
      <c r="P14" s="249" t="str">
        <f t="shared" ref="P14:AB14" si="1">$L$22</f>
        <v>WKG_BUDGET</v>
      </c>
      <c r="Q14" s="249" t="str">
        <f t="shared" si="1"/>
        <v>WKG_BUDGET</v>
      </c>
      <c r="R14" s="249" t="str">
        <f t="shared" si="1"/>
        <v>WKG_BUDGET</v>
      </c>
      <c r="S14" s="249" t="str">
        <f t="shared" si="1"/>
        <v>WKG_BUDGET</v>
      </c>
      <c r="T14" s="249" t="str">
        <f t="shared" si="1"/>
        <v>WKG_BUDGET</v>
      </c>
      <c r="U14" s="249" t="str">
        <f t="shared" si="1"/>
        <v>WKG_BUDGET</v>
      </c>
      <c r="V14" s="249" t="str">
        <f t="shared" si="1"/>
        <v>WKG_BUDGET</v>
      </c>
      <c r="W14" s="249" t="str">
        <f t="shared" si="1"/>
        <v>WKG_BUDGET</v>
      </c>
      <c r="X14" s="249" t="str">
        <f t="shared" si="1"/>
        <v>WKG_BUDGET</v>
      </c>
      <c r="Y14" s="249" t="str">
        <f t="shared" si="1"/>
        <v>WKG_BUDGET</v>
      </c>
      <c r="Z14" s="249" t="str">
        <f t="shared" si="1"/>
        <v>WKG_BUDGET</v>
      </c>
      <c r="AA14" s="249" t="str">
        <f t="shared" si="1"/>
        <v>WKG_BUDGET</v>
      </c>
      <c r="AB14" s="249" t="str">
        <f t="shared" si="1"/>
        <v>WKG_BUDGET</v>
      </c>
    </row>
    <row r="15" spans="1:28" ht="15" hidden="1" customHeight="1" outlineLevel="1" thickBot="1" x14ac:dyDescent="0.25">
      <c r="A15" s="250" t="s">
        <v>211</v>
      </c>
      <c r="B15" s="251"/>
      <c r="D15" s="213" t="str">
        <f>IF(D14=FALSE,"PERIODIC","YTD")</f>
        <v>PERIODIC</v>
      </c>
      <c r="E15" s="239" t="str">
        <f>_xll.EPMMemberProperty(,F15,"COMPARISON")</f>
        <v/>
      </c>
      <c r="F15" s="240" t="str">
        <f>_xll.EPMSelectMember("","[CATEGORY].[PARENTH1].[FCST_6_6]","","",FALSE)</f>
        <v>FCST_6_6</v>
      </c>
      <c r="M15" s="252" t="str">
        <f t="shared" ref="M15:AB15" si="2">IF($L$21=$G$3,"TOTAL_EMERA","TOTAL_REST_FI")</f>
        <v>TOTAL_REST_FI</v>
      </c>
      <c r="N15" s="252" t="str">
        <f t="shared" si="2"/>
        <v>TOTAL_REST_FI</v>
      </c>
      <c r="O15" s="252" t="str">
        <f t="shared" si="2"/>
        <v>TOTAL_REST_FI</v>
      </c>
      <c r="P15" s="252" t="str">
        <f t="shared" si="2"/>
        <v>TOTAL_REST_FI</v>
      </c>
      <c r="Q15" s="252" t="str">
        <f t="shared" si="2"/>
        <v>TOTAL_REST_FI</v>
      </c>
      <c r="R15" s="252" t="str">
        <f t="shared" si="2"/>
        <v>TOTAL_REST_FI</v>
      </c>
      <c r="S15" s="252" t="str">
        <f t="shared" si="2"/>
        <v>TOTAL_REST_FI</v>
      </c>
      <c r="T15" s="252" t="str">
        <f t="shared" si="2"/>
        <v>TOTAL_REST_FI</v>
      </c>
      <c r="U15" s="252" t="str">
        <f t="shared" si="2"/>
        <v>TOTAL_REST_FI</v>
      </c>
      <c r="V15" s="252" t="str">
        <f t="shared" si="2"/>
        <v>TOTAL_REST_FI</v>
      </c>
      <c r="W15" s="252" t="str">
        <f t="shared" si="2"/>
        <v>TOTAL_REST_FI</v>
      </c>
      <c r="X15" s="252" t="str">
        <f t="shared" si="2"/>
        <v>TOTAL_REST_FI</v>
      </c>
      <c r="Y15" s="252" t="str">
        <f t="shared" si="2"/>
        <v>TOTAL_REST_FI</v>
      </c>
      <c r="Z15" s="252" t="str">
        <f t="shared" si="2"/>
        <v>TOTAL_REST_FI</v>
      </c>
      <c r="AA15" s="252" t="str">
        <f t="shared" si="2"/>
        <v>TOTAL_REST_FI</v>
      </c>
      <c r="AB15" s="252" t="str">
        <f t="shared" si="2"/>
        <v>TOTAL_REST_FI</v>
      </c>
    </row>
    <row r="16" spans="1:28" ht="15" hidden="1" customHeight="1" outlineLevel="1" thickBot="1" x14ac:dyDescent="0.35">
      <c r="A16" s="253" t="s">
        <v>190</v>
      </c>
      <c r="B16" s="254" t="str">
        <f>L23</f>
        <v>E_2201</v>
      </c>
      <c r="C16" s="255" t="s">
        <v>212</v>
      </c>
      <c r="E16" s="239" t="str">
        <f>_xll.EPMMemberProperty(,F16,"COMPARISON")</f>
        <v/>
      </c>
      <c r="F16" s="240" t="str">
        <f>_xll.EPMSelectMember("","[CATEGORY].[PARENTH1].[FCST_7_5]","","",FALSE)</f>
        <v>FCST_7_5</v>
      </c>
      <c r="L16" s="241" t="str">
        <f xml:space="preserve"> _xll.EPMOlapMemberO("[Blank Member]","","","","000")</f>
        <v/>
      </c>
      <c r="M16" s="241" t="str">
        <f xml:space="preserve"> _xll.EPMOlapMemberO(M13,"[TIME].[PARENTH1].[2021.DEC]","2021 DEC","","000")</f>
        <v>2021.DEC</v>
      </c>
      <c r="N16" s="241" t="str">
        <f xml:space="preserve"> _xll.EPMOlapMemberO(N13,"[TIME].[PARENTH1].[2021.DEC]","2021 DEC","","000")</f>
        <v>2021.DEC</v>
      </c>
      <c r="O16" s="241" t="str">
        <f xml:space="preserve"> _xll.EPMOlapMemberO(O13,"[TIME].[PARENTH1].[2020.DEC]","2020 DEC","","000")</f>
        <v>2020.DEC</v>
      </c>
      <c r="P16" s="241" t="str">
        <f xml:space="preserve"> _xll.EPMOlapMemberO(P13,"[TIME].[PARENTH1].[2021.JAN]","2021 JAN","","000")</f>
        <v>2021.JAN</v>
      </c>
      <c r="Q16" s="241" t="str">
        <f xml:space="preserve"> _xll.EPMOlapMemberO(Q13,"[TIME].[PARENTH1].[2021.FEB]","2021 FEB","","000")</f>
        <v>2021.FEB</v>
      </c>
      <c r="R16" s="241" t="str">
        <f xml:space="preserve"> _xll.EPMOlapMemberO(R13,"[TIME].[PARENTH1].[2021.MAR]","2021 MAR","","000")</f>
        <v>2021.MAR</v>
      </c>
      <c r="S16" s="241" t="str">
        <f xml:space="preserve"> _xll.EPMOlapMemberO(S13,"[TIME].[PARENTH1].[2021.APR]","2021 APR","","000")</f>
        <v>2021.APR</v>
      </c>
      <c r="T16" s="241" t="str">
        <f xml:space="preserve"> _xll.EPMOlapMemberO(T13,"[TIME].[PARENTH1].[2021.MAY]","2021 MAY","","000")</f>
        <v>2021.MAY</v>
      </c>
      <c r="U16" s="241" t="str">
        <f xml:space="preserve"> _xll.EPMOlapMemberO(U13,"[TIME].[PARENTH1].[2021.JUN]","2021 JUN","","000")</f>
        <v>2021.JUN</v>
      </c>
      <c r="V16" s="241" t="str">
        <f xml:space="preserve"> _xll.EPMOlapMemberO(V13,"[TIME].[PARENTH1].[2021.JUL]","2021 JUL","","000")</f>
        <v>2021.JUL</v>
      </c>
      <c r="W16" s="241" t="str">
        <f xml:space="preserve"> _xll.EPMOlapMemberO(W13,"[TIME].[PARENTH1].[2021.AUG]","2021 AUG","","000")</f>
        <v>2021.AUG</v>
      </c>
      <c r="X16" s="241" t="str">
        <f xml:space="preserve"> _xll.EPMOlapMemberO(X13,"[TIME].[PARENTH1].[2021.SEP]","2021 SEP","","000")</f>
        <v>2021.SEP</v>
      </c>
      <c r="Y16" s="241" t="str">
        <f xml:space="preserve"> _xll.EPMOlapMemberO(Y13,"[TIME].[PARENTH1].[2021.OCT]","2021 OCT","","000")</f>
        <v>2021.OCT</v>
      </c>
      <c r="Z16" s="241" t="str">
        <f xml:space="preserve"> _xll.EPMOlapMemberO(Z13,"[TIME].[PARENTH1].[2021.NOV]","2021 NOV","","000")</f>
        <v>2021.NOV</v>
      </c>
      <c r="AA16" s="241" t="str">
        <f xml:space="preserve"> _xll.EPMOlapMemberO(AA13,"[TIME].[PARENTH1].[2021.DEC]","2021 DEC","","000")</f>
        <v>2021.DEC</v>
      </c>
      <c r="AB16" s="241" t="str">
        <f xml:space="preserve"> _xll.EPMOlapMemberO(AB13,"[TIME].[PARENTH1].[2021.TOTAL]","2021 TOTAL","","000")</f>
        <v>2021.TOTAL</v>
      </c>
    </row>
    <row r="17" spans="1:28" ht="15" hidden="1" customHeight="1" outlineLevel="1" thickBot="1" x14ac:dyDescent="0.35">
      <c r="A17" s="228" t="s">
        <v>213</v>
      </c>
      <c r="B17" s="229" t="str">
        <f>IF(C17=1,"",_xll.EPMDimensionOverride($B$1,$A$5,VLOOKUP(L25,$I$1:$J$3,2,"FALSE")))</f>
        <v>Expansion of C_ACCOUNT Overriden</v>
      </c>
      <c r="C17" s="213">
        <v>2</v>
      </c>
      <c r="D17" s="213" t="s">
        <v>214</v>
      </c>
      <c r="E17" s="239" t="str">
        <f>_xll.EPMMemberProperty(,F17,"COMPARISON")</f>
        <v/>
      </c>
      <c r="F17" s="240" t="str">
        <f>_xll.EPMSelectMember("","[CATEGORY].[PARENTH1].[FCST_8_4]","","",FALSE)</f>
        <v>FCST_8_4</v>
      </c>
      <c r="L17" s="241" t="str">
        <f xml:space="preserve"> _xll.EPMOlapMemberO("[Blank Member]","","","","000")</f>
        <v/>
      </c>
      <c r="M17" s="241" t="str">
        <f xml:space="preserve"> _xll.EPMOlapMemberO(M14,"[CATEGORY].[PARENTH1].[FCST_9_3]","FCST_9_3","","000")</f>
        <v>FCST_9_3</v>
      </c>
      <c r="N17" s="241" t="str">
        <f xml:space="preserve"> _xll.EPMOlapMemberO(N14,"[CATEGORY].[PARENTH1].[FNL_BUDGET]","FNL_BUDGET","","000")</f>
        <v>FNL_BUDGET</v>
      </c>
      <c r="O17" s="241" t="str">
        <f xml:space="preserve"> _xll.EPMOlapMemberO(O14,"[CATEGORY].[PARENTH1].[ACTUAL]","ACTUAL","","000")</f>
        <v>ACTUAL</v>
      </c>
      <c r="P17" s="241" t="str">
        <f xml:space="preserve"> _xll.EPMOlapMemberO(P14,"[CATEGORY].[PARENTH1].[WKG_BUDGET]","WKG_BUDGET","","000")</f>
        <v>WKG_BUDGET</v>
      </c>
      <c r="Q17" s="241" t="str">
        <f xml:space="preserve"> _xll.EPMOlapMemberO(Q14,"[CATEGORY].[PARENTH1].[WKG_BUDGET]","WKG_BUDGET","","000")</f>
        <v>WKG_BUDGET</v>
      </c>
      <c r="R17" s="241" t="str">
        <f xml:space="preserve"> _xll.EPMOlapMemberO(R14,"[CATEGORY].[PARENTH1].[WKG_BUDGET]","WKG_BUDGET","","000")</f>
        <v>WKG_BUDGET</v>
      </c>
      <c r="S17" s="241" t="str">
        <f xml:space="preserve"> _xll.EPMOlapMemberO(S14,"[CATEGORY].[PARENTH1].[WKG_BUDGET]","WKG_BUDGET","","000")</f>
        <v>WKG_BUDGET</v>
      </c>
      <c r="T17" s="241" t="str">
        <f xml:space="preserve"> _xll.EPMOlapMemberO(T14,"[CATEGORY].[PARENTH1].[WKG_BUDGET]","WKG_BUDGET","","000")</f>
        <v>WKG_BUDGET</v>
      </c>
      <c r="U17" s="241" t="str">
        <f xml:space="preserve"> _xll.EPMOlapMemberO(U14,"[CATEGORY].[PARENTH1].[WKG_BUDGET]","WKG_BUDGET","","000")</f>
        <v>WKG_BUDGET</v>
      </c>
      <c r="V17" s="241" t="str">
        <f xml:space="preserve"> _xll.EPMOlapMemberO(V14,"[CATEGORY].[PARENTH1].[WKG_BUDGET]","WKG_BUDGET","","000")</f>
        <v>WKG_BUDGET</v>
      </c>
      <c r="W17" s="241" t="str">
        <f xml:space="preserve"> _xll.EPMOlapMemberO(W14,"[CATEGORY].[PARENTH1].[WKG_BUDGET]","WKG_BUDGET","","000")</f>
        <v>WKG_BUDGET</v>
      </c>
      <c r="X17" s="241" t="str">
        <f xml:space="preserve"> _xll.EPMOlapMemberO(X14,"[CATEGORY].[PARENTH1].[WKG_BUDGET]","WKG_BUDGET","","000")</f>
        <v>WKG_BUDGET</v>
      </c>
      <c r="Y17" s="241" t="str">
        <f xml:space="preserve"> _xll.EPMOlapMemberO(Y14,"[CATEGORY].[PARENTH1].[WKG_BUDGET]","WKG_BUDGET","","000")</f>
        <v>WKG_BUDGET</v>
      </c>
      <c r="Z17" s="241" t="str">
        <f xml:space="preserve"> _xll.EPMOlapMemberO(Z14,"[CATEGORY].[PARENTH1].[WKG_BUDGET]","WKG_BUDGET","","000")</f>
        <v>WKG_BUDGET</v>
      </c>
      <c r="AA17" s="241" t="str">
        <f xml:space="preserve"> _xll.EPMOlapMemberO(AA14,"[CATEGORY].[PARENTH1].[WKG_BUDGET]","WKG_BUDGET","","000")</f>
        <v>WKG_BUDGET</v>
      </c>
      <c r="AB17" s="241" t="str">
        <f xml:space="preserve"> _xll.EPMOlapMemberO(AB14,"[CATEGORY].[PARENTH1].[WKG_BUDGET]","WKG_BUDGET","","000")</f>
        <v>WKG_BUDGET</v>
      </c>
    </row>
    <row r="18" spans="1:28" ht="15" hidden="1" customHeight="1" outlineLevel="1" x14ac:dyDescent="0.3">
      <c r="B18" s="229" t="str">
        <f>_xll.EPMDimensionOverride($B$1,$A$7,$D$7)</f>
        <v>Expansion of COSTCENTER Overriden</v>
      </c>
      <c r="D18" s="213" t="s">
        <v>215</v>
      </c>
      <c r="E18" s="239" t="str">
        <f>_xll.EPMMemberProperty(,F18,"COMPARISON")</f>
        <v>CURRENT</v>
      </c>
      <c r="F18" s="240" t="str">
        <f>_xll.EPMSelectMember("","[CATEGORY].[PARENTH1].[FCST_9_3]","","",FALSE)</f>
        <v>FCST_9_3</v>
      </c>
      <c r="L18" s="241" t="str">
        <f xml:space="preserve"> _xll.FPMXLClient.TechnicalCategory.EPMLocalMember("","000","000")</f>
        <v/>
      </c>
      <c r="M18" s="241" t="str">
        <f xml:space="preserve"> _xll.EPMOlapMemberO(M15,"[DATASOURCE].[PARENTH1].[TOTAL_REST_FI]","TOTAL_REST_FI","","000")</f>
        <v>TOTAL_REST_FI</v>
      </c>
      <c r="N18" s="241" t="str">
        <f xml:space="preserve"> _xll.EPMOlapMemberO(N15,"[DATASOURCE].[PARENTH1].[TOTAL_REST_FI]","TOTAL_REST_FI","","000")</f>
        <v>TOTAL_REST_FI</v>
      </c>
      <c r="O18" s="241" t="str">
        <f xml:space="preserve"> _xll.EPMOlapMemberO(O15,"[DATASOURCE].[PARENTH1].[TOTAL_REST_FI]","TOTAL_REST_FI","","000")</f>
        <v>TOTAL_REST_FI</v>
      </c>
      <c r="P18" s="241" t="str">
        <f xml:space="preserve"> _xll.EPMOlapMemberO(P15,"[DATASOURCE].[PARENTH1].[TOTAL_REST_FI]","TOTAL_REST_FI","","000")</f>
        <v>TOTAL_REST_FI</v>
      </c>
      <c r="Q18" s="241" t="str">
        <f xml:space="preserve"> _xll.EPMOlapMemberO(Q15,"[DATASOURCE].[PARENTH1].[TOTAL_REST_FI]","TOTAL_REST_FI","","000")</f>
        <v>TOTAL_REST_FI</v>
      </c>
      <c r="R18" s="241" t="str">
        <f xml:space="preserve"> _xll.EPMOlapMemberO(R15,"[DATASOURCE].[PARENTH1].[TOTAL_REST_FI]","TOTAL_REST_FI","","000")</f>
        <v>TOTAL_REST_FI</v>
      </c>
      <c r="S18" s="241" t="str">
        <f xml:space="preserve"> _xll.EPMOlapMemberO(S15,"[DATASOURCE].[PARENTH1].[TOTAL_REST_FI]","TOTAL_REST_FI","","000")</f>
        <v>TOTAL_REST_FI</v>
      </c>
      <c r="T18" s="241" t="str">
        <f xml:space="preserve"> _xll.EPMOlapMemberO(T15,"[DATASOURCE].[PARENTH1].[TOTAL_REST_FI]","TOTAL_REST_FI","","000")</f>
        <v>TOTAL_REST_FI</v>
      </c>
      <c r="U18" s="241" t="str">
        <f xml:space="preserve"> _xll.EPMOlapMemberO(U15,"[DATASOURCE].[PARENTH1].[TOTAL_REST_FI]","TOTAL_REST_FI","","000")</f>
        <v>TOTAL_REST_FI</v>
      </c>
      <c r="V18" s="241" t="str">
        <f xml:space="preserve"> _xll.EPMOlapMemberO(V15,"[DATASOURCE].[PARENTH1].[TOTAL_REST_FI]","TOTAL_REST_FI","","000")</f>
        <v>TOTAL_REST_FI</v>
      </c>
      <c r="W18" s="241" t="str">
        <f xml:space="preserve"> _xll.EPMOlapMemberO(W15,"[DATASOURCE].[PARENTH1].[TOTAL_REST_FI]","TOTAL_REST_FI","","000")</f>
        <v>TOTAL_REST_FI</v>
      </c>
      <c r="X18" s="241" t="str">
        <f xml:space="preserve"> _xll.EPMOlapMemberO(X15,"[DATASOURCE].[PARENTH1].[TOTAL_REST_FI]","TOTAL_REST_FI","","000")</f>
        <v>TOTAL_REST_FI</v>
      </c>
      <c r="Y18" s="241" t="str">
        <f xml:space="preserve"> _xll.EPMOlapMemberO(Y15,"[DATASOURCE].[PARENTH1].[TOTAL_REST_FI]","TOTAL_REST_FI","","000")</f>
        <v>TOTAL_REST_FI</v>
      </c>
      <c r="Z18" s="241" t="str">
        <f xml:space="preserve"> _xll.EPMOlapMemberO(Z15,"[DATASOURCE].[PARENTH1].[TOTAL_REST_FI]","TOTAL_REST_FI","","000")</f>
        <v>TOTAL_REST_FI</v>
      </c>
      <c r="AA18" s="241" t="str">
        <f xml:space="preserve"> _xll.EPMOlapMemberO(AA15,"[DATASOURCE].[PARENTH1].[TOTAL_REST_FI]","TOTAL_REST_FI","","000")</f>
        <v>TOTAL_REST_FI</v>
      </c>
      <c r="AB18" s="241" t="str">
        <f xml:space="preserve"> _xll.EPMOlapMemberO(AB15,"[DATASOURCE].[PARENTH1].[TOTAL_REST_FI]","TOTAL_REST_FI","","000")</f>
        <v>TOTAL_REST_FI</v>
      </c>
    </row>
    <row r="19" spans="1:28" ht="15" hidden="1" customHeight="1" outlineLevel="1" x14ac:dyDescent="0.2">
      <c r="E19" s="239" t="str">
        <f>_xll.EPMMemberProperty(,F19,"COMPARISON")</f>
        <v/>
      </c>
      <c r="F19" s="240" t="str">
        <f>_xll.EPMSelectMember("","[CATEGORY].[PARENTH1].[FCST_10_2]","","",FALSE)</f>
        <v>FCST_10_2</v>
      </c>
    </row>
    <row r="20" spans="1:28" ht="31.5" customHeight="1" collapsed="1" thickBot="1" x14ac:dyDescent="0.25">
      <c r="E20" s="239" t="str">
        <f>_xll.EPMMemberProperty(,F20,"COMPARISON")</f>
        <v/>
      </c>
      <c r="F20" s="240" t="str">
        <f>_xll.EPMSelectMember("","[CATEGORY].[PARENTH1].[FCST_11_1]","","",FALSE)</f>
        <v>FCST_11_1</v>
      </c>
    </row>
    <row r="21" spans="1:28" ht="15" customHeight="1" thickBot="1" x14ac:dyDescent="0.25">
      <c r="K21" s="237" t="s">
        <v>181</v>
      </c>
      <c r="L21" s="238" t="s">
        <v>161</v>
      </c>
    </row>
    <row r="22" spans="1:28" ht="15" customHeight="1" thickBot="1" x14ac:dyDescent="0.45">
      <c r="K22" s="256" t="s">
        <v>216</v>
      </c>
      <c r="L22" s="238" t="str">
        <f>_xll.EPMSelectMember("","[CATEGORY].[PARENTH1].[WKG_BUDGET]","","",FALSE)</f>
        <v>WKG_BUDGET</v>
      </c>
      <c r="M22" s="257"/>
      <c r="N22" s="257"/>
      <c r="O22" s="258" t="str">
        <f>_xll.EPMMemberDesc(L22)</f>
        <v>WORKING BUDGET</v>
      </c>
    </row>
    <row r="23" spans="1:28" ht="15" customHeight="1" thickBot="1" x14ac:dyDescent="0.45">
      <c r="K23" s="256" t="s">
        <v>217</v>
      </c>
      <c r="L23" s="238" t="str">
        <f>_xll.EPMContextMember(,"ENTITY")</f>
        <v>E_2201</v>
      </c>
      <c r="M23" s="257"/>
      <c r="N23" s="257"/>
      <c r="O23" s="258" t="str">
        <f>_xll.EPMMemberDesc(L23)</f>
        <v>Tampa Electric</v>
      </c>
    </row>
    <row r="24" spans="1:28" ht="15" customHeight="1" thickBot="1" x14ac:dyDescent="0.45">
      <c r="G24" s="215"/>
      <c r="K24" s="256" t="s">
        <v>218</v>
      </c>
      <c r="L24" s="238" t="str">
        <f>_xll.EPMContextMember(,"TIME","PERIOD=TOTAL")</f>
        <v>2021.TOTAL</v>
      </c>
      <c r="M24" s="257"/>
      <c r="N24" s="257"/>
      <c r="O24" s="258" t="str">
        <f>_xll.EPMMemberDesc(L24)</f>
        <v>2021 TOTAL</v>
      </c>
    </row>
    <row r="25" spans="1:28" ht="15" customHeight="1" thickBot="1" x14ac:dyDescent="0.25">
      <c r="K25" s="259" t="s">
        <v>219</v>
      </c>
      <c r="L25" s="260" t="s">
        <v>173</v>
      </c>
      <c r="Q25" s="261"/>
    </row>
    <row r="26" spans="1:28" s="262" customFormat="1" ht="24.9" customHeight="1" thickBot="1" x14ac:dyDescent="0.3">
      <c r="K26" s="259"/>
      <c r="L26" s="263" t="str">
        <f>_xll.EPMMemberDesc(L23)</f>
        <v>Tampa Electric</v>
      </c>
      <c r="Q26" s="264"/>
    </row>
    <row r="27" spans="1:28" ht="17.100000000000001" customHeight="1" x14ac:dyDescent="0.2">
      <c r="J27" s="265"/>
      <c r="K27" s="266"/>
      <c r="L27" s="267"/>
      <c r="M27" s="268"/>
      <c r="N27" s="268"/>
      <c r="P27" s="269" t="s">
        <v>220</v>
      </c>
    </row>
    <row r="28" spans="1:28" ht="17.100000000000001" customHeight="1" x14ac:dyDescent="0.4">
      <c r="J28" s="270" t="s">
        <v>221</v>
      </c>
      <c r="K28" s="271"/>
      <c r="L28" s="272"/>
      <c r="M28" s="273"/>
      <c r="N28" s="273"/>
    </row>
    <row r="29" spans="1:28" ht="17.100000000000001" customHeight="1" thickBot="1" x14ac:dyDescent="0.25">
      <c r="G29" s="274" t="s">
        <v>222</v>
      </c>
      <c r="H29" s="274" t="s">
        <v>222</v>
      </c>
      <c r="J29" s="275"/>
      <c r="K29" s="276"/>
      <c r="L29" s="277"/>
      <c r="M29" s="268"/>
      <c r="N29" s="268"/>
      <c r="P29" s="278" t="s">
        <v>223</v>
      </c>
    </row>
    <row r="30" spans="1:28" ht="15" customHeight="1" x14ac:dyDescent="0.2">
      <c r="G30" s="274" t="s">
        <v>222</v>
      </c>
      <c r="H30" s="274" t="s">
        <v>222</v>
      </c>
    </row>
    <row r="31" spans="1:28" ht="15" customHeight="1" x14ac:dyDescent="0.2">
      <c r="G31" s="279"/>
      <c r="H31" s="279"/>
      <c r="I31" s="279"/>
      <c r="J31" s="280" t="s">
        <v>224</v>
      </c>
      <c r="K31" s="280"/>
      <c r="L31" s="280"/>
      <c r="M31" s="281" t="str">
        <f>_xll.EPMSelectMember(,$F$8)</f>
        <v>FCST_9_3</v>
      </c>
      <c r="N31" s="281" t="str">
        <f>_xll.EPMSelectMember(,"FNL_BUDGET")</f>
        <v>FNL_BUDGET</v>
      </c>
      <c r="O31" s="282" t="str">
        <f>_xll.EPMMemberDesc(O14)</f>
        <v>ACTUAL</v>
      </c>
      <c r="P31" s="282" t="str">
        <f>IF($L$22="FORECAST",IF(OR(P$11="PA",P$11="A")=TRUE,"ACTUAL",_xll.EPMMemberDesc($S$14)),_xll.EPMMemberDesc($P$14))</f>
        <v>WORKING BUDGET</v>
      </c>
      <c r="Q31" s="282" t="str">
        <f>IF($L$22="FORECAST",IF(OR(Q$11="PA",Q$11="A")=TRUE,"ACTUAL",_xll.EPMMemberDesc($S$14)),_xll.EPMMemberDesc($P$14))</f>
        <v>WORKING BUDGET</v>
      </c>
      <c r="R31" s="282" t="str">
        <f>IF($L$22="FORECAST",IF(OR(R$11="PA",R$11="A")=TRUE,"ACTUAL",_xll.EPMMemberDesc($S$14)),_xll.EPMMemberDesc($P$14))</f>
        <v>WORKING BUDGET</v>
      </c>
      <c r="S31" s="282" t="str">
        <f>IF($L$22="FORECAST",IF(OR(S$11="PA",S$11="A")=TRUE,"ACTUAL",_xll.EPMMemberDesc($S$14)),_xll.EPMMemberDesc($P$14))</f>
        <v>WORKING BUDGET</v>
      </c>
      <c r="T31" s="282" t="str">
        <f>IF($L$22="FORECAST",IF(OR(T$11="PA",T$11="A")=TRUE,"ACTUAL",_xll.EPMMemberDesc($S$14)),_xll.EPMMemberDesc($P$14))</f>
        <v>WORKING BUDGET</v>
      </c>
      <c r="U31" s="282" t="str">
        <f>IF($L$22="FORECAST",IF(OR(U$11="PA",U$11="A")=TRUE,"ACTUAL",_xll.EPMMemberDesc($S$14)),_xll.EPMMemberDesc($P$14))</f>
        <v>WORKING BUDGET</v>
      </c>
      <c r="V31" s="282" t="str">
        <f>IF($L$22="FORECAST",IF(OR(V$11="PA",V$11="A")=TRUE,"ACTUAL",_xll.EPMMemberDesc($S$14)),_xll.EPMMemberDesc($P$14))</f>
        <v>WORKING BUDGET</v>
      </c>
      <c r="W31" s="282" t="str">
        <f>IF($L$22="FORECAST",IF(OR(W$11="PA",W$11="A")=TRUE,"ACTUAL",_xll.EPMMemberDesc($S$14)),_xll.EPMMemberDesc($P$14))</f>
        <v>WORKING BUDGET</v>
      </c>
      <c r="X31" s="282" t="str">
        <f>IF($L$22="FORECAST",IF(OR(X$11="PA",X$11="A")=TRUE,"ACTUAL",_xll.EPMMemberDesc($S$14)),_xll.EPMMemberDesc($P$14))</f>
        <v>WORKING BUDGET</v>
      </c>
      <c r="Y31" s="282" t="str">
        <f>IF($L$22="FORECAST",IF(OR(Y$11="PA",Y$11="A")=TRUE,"ACTUAL",_xll.EPMMemberDesc($S$14)),_xll.EPMMemberDesc($P$14))</f>
        <v>WORKING BUDGET</v>
      </c>
      <c r="Z31" s="282" t="str">
        <f>IF($L$22="FORECAST",IF(OR(Z$11="PA",Z$11="A")=TRUE,"ACTUAL",_xll.EPMMemberDesc($S$14)),_xll.EPMMemberDesc($P$14))</f>
        <v>WORKING BUDGET</v>
      </c>
      <c r="AA31" s="282" t="str">
        <f>IF($L$22="FORECAST",IF(OR(AA$11="PA",AA$11="A")=TRUE,"ACTUAL",_xll.EPMMemberDesc($S$14)),_xll.EPMMemberDesc($P$14))</f>
        <v>WORKING BUDGET</v>
      </c>
      <c r="AB31" s="282" t="str">
        <f>IF($L$22="FORECAST",IF(OR(AB$11="PA",AB$11="A")=TRUE,"ACTUAL",_xll.EPMMemberDesc($S$14)),_xll.EPMMemberDesc($P$14))</f>
        <v>WORKING BUDGET</v>
      </c>
    </row>
    <row r="32" spans="1:28" ht="15" customHeight="1" x14ac:dyDescent="0.2">
      <c r="I32" s="279"/>
      <c r="J32" s="283" t="s">
        <v>225</v>
      </c>
      <c r="K32" s="284" t="s">
        <v>226</v>
      </c>
      <c r="L32" s="284" t="s">
        <v>227</v>
      </c>
      <c r="M32" s="281" t="str">
        <f>_xll.EPMSelectMember(,LEFT($L$24,5)&amp;"DEC")</f>
        <v>2021.DEC</v>
      </c>
      <c r="N32" s="281" t="str">
        <f>_xll.EPMSelectMember(,LEFT($L$24,5)&amp;"DEC")</f>
        <v>2021.DEC</v>
      </c>
      <c r="O32" s="285" t="str">
        <f>_xll.EPMMemberDesc(O13)</f>
        <v>2020 DEC</v>
      </c>
      <c r="P32" s="285" t="str">
        <f>_xll.EPMMemberDesc(P13)</f>
        <v>2021 JAN</v>
      </c>
      <c r="Q32" s="285" t="str">
        <f>_xll.EPMMemberDesc(Q13)</f>
        <v>2021 FEB</v>
      </c>
      <c r="R32" s="285" t="str">
        <f>_xll.EPMMemberDesc(R13)</f>
        <v>2021 MAR</v>
      </c>
      <c r="S32" s="285" t="str">
        <f>_xll.EPMMemberDesc(S13)</f>
        <v>2021 APR</v>
      </c>
      <c r="T32" s="285" t="str">
        <f>_xll.EPMMemberDesc(T13)</f>
        <v>2021 MAY</v>
      </c>
      <c r="U32" s="285" t="str">
        <f>_xll.EPMMemberDesc(U13)</f>
        <v>2021 JUN</v>
      </c>
      <c r="V32" s="285" t="str">
        <f>_xll.EPMMemberDesc(V13)</f>
        <v>2021 JUL</v>
      </c>
      <c r="W32" s="285" t="str">
        <f>_xll.EPMMemberDesc(W13)</f>
        <v>2021 AUG</v>
      </c>
      <c r="X32" s="285" t="str">
        <f>_xll.EPMMemberDesc(X13)</f>
        <v>2021 SEP</v>
      </c>
      <c r="Y32" s="285" t="str">
        <f>_xll.EPMMemberDesc(Y13)</f>
        <v>2021 OCT</v>
      </c>
      <c r="Z32" s="285" t="str">
        <f>_xll.EPMMemberDesc(Z13)</f>
        <v>2021 NOV</v>
      </c>
      <c r="AA32" s="285" t="str">
        <f>_xll.EPMMemberDesc(AA13)</f>
        <v>2021 DEC</v>
      </c>
      <c r="AB32" s="285" t="str">
        <f>_xll.EPMMemberDesc(AB13)</f>
        <v>2021 TOTAL</v>
      </c>
    </row>
    <row r="33" spans="9:28" ht="8.6999999999999993" customHeight="1" x14ac:dyDescent="0.2">
      <c r="I33" s="279"/>
      <c r="J33" s="279"/>
      <c r="K33" s="279"/>
      <c r="L33" s="279"/>
      <c r="M33" s="279"/>
      <c r="N33" s="279"/>
    </row>
    <row r="34" spans="9:28" ht="15" customHeight="1" x14ac:dyDescent="0.2">
      <c r="J34" s="286" t="str">
        <f xml:space="preserve"> _xll.EPMOlapMemberO("[COSTCENTER].[PARENTH1].[1001]","","1001","","000")</f>
        <v>1001</v>
      </c>
      <c r="K34" s="286" t="str">
        <f xml:space="preserve"> _xll.EPMOlapMemberO("[C_ACCOUNT].[PARENTH1].[TRIAL_BALANCE]","","TRIAL_BALANCE","","000")</f>
        <v>TRIAL_BALANCE</v>
      </c>
      <c r="L34" s="286" t="str">
        <f>_xll.EPMMemberDesc(K34)</f>
        <v>TRIAL BALANCE</v>
      </c>
      <c r="M34" s="287">
        <v>0</v>
      </c>
      <c r="N34" s="287">
        <v>0</v>
      </c>
      <c r="O34" s="287">
        <v>0</v>
      </c>
      <c r="P34" s="287">
        <v>19466751.343898501</v>
      </c>
      <c r="Q34" s="287">
        <v>14814038.666508</v>
      </c>
      <c r="R34" s="287">
        <v>10440721.8472756</v>
      </c>
      <c r="S34" s="287">
        <v>22032092.249876801</v>
      </c>
      <c r="T34" s="287">
        <v>32678565.5684953</v>
      </c>
      <c r="U34" s="287">
        <v>36665681.8010033</v>
      </c>
      <c r="V34" s="287">
        <v>43568362.284709103</v>
      </c>
      <c r="W34" s="287">
        <v>45854650.427464798</v>
      </c>
      <c r="X34" s="287">
        <v>43380159.312918097</v>
      </c>
      <c r="Y34" s="287">
        <v>34435110.484229401</v>
      </c>
      <c r="Z34" s="287">
        <v>20653731.407382499</v>
      </c>
      <c r="AA34" s="287">
        <v>16066513.030479699</v>
      </c>
      <c r="AB34" s="287">
        <v>340056378.42424113</v>
      </c>
    </row>
    <row r="35" spans="9:28" ht="15" customHeight="1" x14ac:dyDescent="0.2">
      <c r="J35" s="286" t="str">
        <f xml:space="preserve"> _xll.EPMOlapMemberO("[COSTCENTER].[PARENTH1].[1001]","","1001","","000")</f>
        <v>1001</v>
      </c>
      <c r="K35" s="288" t="str">
        <f xml:space="preserve"> _xll.EPMOlapMemberO("[C_ACCOUNT].[PARENTH1].[ASSETS]","","ASSETS","","000")</f>
        <v>ASSETS</v>
      </c>
      <c r="L35" s="286" t="str">
        <f>_xll.EPMMemberDesc(K35)</f>
        <v>ASSETS</v>
      </c>
      <c r="M35" s="287">
        <v>0</v>
      </c>
      <c r="N35" s="287">
        <v>0</v>
      </c>
      <c r="O35" s="287">
        <v>0</v>
      </c>
      <c r="P35" s="287">
        <v>9837894830.7834415</v>
      </c>
      <c r="Q35" s="287">
        <v>9877810849.4760246</v>
      </c>
      <c r="R35" s="287">
        <v>9950615078.9201508</v>
      </c>
      <c r="S35" s="287">
        <v>10007572639.438999</v>
      </c>
      <c r="T35" s="287">
        <v>10075351636.892029</v>
      </c>
      <c r="U35" s="287">
        <v>10229633469.52298</v>
      </c>
      <c r="V35" s="287">
        <v>10272306383.364033</v>
      </c>
      <c r="W35" s="287">
        <v>10303380101.195673</v>
      </c>
      <c r="X35" s="287">
        <v>10374519582.928949</v>
      </c>
      <c r="Y35" s="287">
        <v>10389745871.662462</v>
      </c>
      <c r="Z35" s="287">
        <v>10484312562.100817</v>
      </c>
      <c r="AA35" s="287">
        <v>10530584045.840672</v>
      </c>
      <c r="AB35" s="287">
        <v>10530584045.840672</v>
      </c>
    </row>
    <row r="36" spans="9:28" ht="15" customHeight="1" x14ac:dyDescent="0.2">
      <c r="J36" s="286" t="str">
        <f xml:space="preserve"> _xll.EPMOlapMemberO("[COSTCENTER].[PARENTH1].[1001]","","1001","","000")</f>
        <v>1001</v>
      </c>
      <c r="K36" s="289" t="str">
        <f xml:space="preserve"> _xll.EPMOlapMemberO("[C_ACCOUNT].[PARENTH1].[CURRENT_ASSETS]","","CURRENT_ASSETS","","000")</f>
        <v>CURRENT_ASSETS</v>
      </c>
      <c r="L36" s="286" t="str">
        <f>_xll.EPMMemberDesc(K36)</f>
        <v>CURRENT ASSETS</v>
      </c>
      <c r="M36" s="287">
        <v>0</v>
      </c>
      <c r="N36" s="287">
        <v>0</v>
      </c>
      <c r="O36" s="287">
        <v>0</v>
      </c>
      <c r="P36" s="287">
        <v>361041099.12541771</v>
      </c>
      <c r="Q36" s="287">
        <v>353939248.38269079</v>
      </c>
      <c r="R36" s="287">
        <v>365315063.33069998</v>
      </c>
      <c r="S36" s="287">
        <v>370558825.68301523</v>
      </c>
      <c r="T36" s="287">
        <v>380559478.38587499</v>
      </c>
      <c r="U36" s="287">
        <v>410466531.36497527</v>
      </c>
      <c r="V36" s="287">
        <v>406312612.76222712</v>
      </c>
      <c r="W36" s="287">
        <v>391724793.63984352</v>
      </c>
      <c r="X36" s="287">
        <v>407653228.2371406</v>
      </c>
      <c r="Y36" s="287">
        <v>372575180.5621593</v>
      </c>
      <c r="Z36" s="287">
        <v>350313888.59554732</v>
      </c>
      <c r="AA36" s="287">
        <v>341989968.83701831</v>
      </c>
      <c r="AB36" s="287">
        <v>341989968.83701831</v>
      </c>
    </row>
    <row r="37" spans="9:28" ht="15" customHeight="1" x14ac:dyDescent="0.2">
      <c r="J37" s="286" t="str">
        <f xml:space="preserve"> _xll.EPMOlapMemberO("[COSTCENTER].[PARENTH1].[1001]","","1001","","000")</f>
        <v>1001</v>
      </c>
      <c r="K37" s="290" t="str">
        <f xml:space="preserve"> _xll.EPMOlapMemberO("[C_ACCOUNT].[PARENTH1].[CASH_EQUIVALENTS]","","CASH_EQUIVALENTS","","000")</f>
        <v>CASH_EQUIVALENTS</v>
      </c>
      <c r="L37" s="286" t="str">
        <f>_xll.EPMMemberDesc(K37)</f>
        <v>Cash and Cash Equivalents</v>
      </c>
      <c r="M37" s="287">
        <v>0</v>
      </c>
      <c r="N37" s="287">
        <v>0</v>
      </c>
      <c r="O37" s="287">
        <v>0</v>
      </c>
      <c r="P37" s="287">
        <v>1000000</v>
      </c>
      <c r="Q37" s="287">
        <v>1000000</v>
      </c>
      <c r="R37" s="287">
        <v>1000000</v>
      </c>
      <c r="S37" s="287">
        <v>1000000</v>
      </c>
      <c r="T37" s="287">
        <v>1000000</v>
      </c>
      <c r="U37" s="287">
        <v>1000000</v>
      </c>
      <c r="V37" s="287">
        <v>1000000</v>
      </c>
      <c r="W37" s="287">
        <v>1000000</v>
      </c>
      <c r="X37" s="287">
        <v>1000000</v>
      </c>
      <c r="Y37" s="287">
        <v>1000000</v>
      </c>
      <c r="Z37" s="287">
        <v>1000000</v>
      </c>
      <c r="AA37" s="287">
        <v>1000000</v>
      </c>
      <c r="AB37" s="287">
        <v>1000000</v>
      </c>
    </row>
    <row r="38" spans="9:28" ht="15" customHeight="1" x14ac:dyDescent="0.25">
      <c r="J38" s="291" t="str">
        <f xml:space="preserve"> _xll.EPMOlapMemberO("[COSTCENTER].[PARENTH1].[1001]","","1001","","000")</f>
        <v>1001</v>
      </c>
      <c r="K38" s="292" t="str">
        <f xml:space="preserve"> _xll.EPMOlapMemberO("[C_ACCOUNT].[PARENTH1].[A_1360010]","","A_1360010","","000")</f>
        <v>A_1360010</v>
      </c>
      <c r="L38" s="293" t="str">
        <f>_xll.EPMMemberDesc(K38)</f>
        <v>Cash Equiv - Investments (0-90 Days) Local Currency</v>
      </c>
      <c r="M38" s="293">
        <v>0</v>
      </c>
      <c r="N38" s="293">
        <v>0</v>
      </c>
      <c r="O38" s="293">
        <v>0</v>
      </c>
      <c r="P38" s="293">
        <v>1000000</v>
      </c>
      <c r="Q38" s="293">
        <v>1000000</v>
      </c>
      <c r="R38" s="293">
        <v>1000000</v>
      </c>
      <c r="S38" s="293">
        <v>1000000</v>
      </c>
      <c r="T38" s="293">
        <v>1000000</v>
      </c>
      <c r="U38" s="293">
        <v>1000000</v>
      </c>
      <c r="V38" s="293">
        <v>1000000</v>
      </c>
      <c r="W38" s="293">
        <v>1000000</v>
      </c>
      <c r="X38" s="293">
        <v>1000000</v>
      </c>
      <c r="Y38" s="293">
        <v>1000000</v>
      </c>
      <c r="Z38" s="293">
        <v>1000000</v>
      </c>
      <c r="AA38" s="293">
        <v>1000000</v>
      </c>
      <c r="AB38" s="293">
        <v>1000000</v>
      </c>
    </row>
    <row r="39" spans="9:28" ht="15" customHeight="1" x14ac:dyDescent="0.2">
      <c r="J39" s="286" t="str">
        <f xml:space="preserve"> _xll.EPMOlapMemberO("[COSTCENTER].[PARENTH1].[1001]","","1001","","000")</f>
        <v>1001</v>
      </c>
      <c r="K39" s="290" t="str">
        <f xml:space="preserve"> _xll.EPMOlapMemberO("[C_ACCOUNT].[PARENTH1].[RECEIVABLE_UNCOLL]","","RECEIVABLE_UNCOLL","","000")</f>
        <v>RECEIVABLE_UNCOLL</v>
      </c>
      <c r="L39" s="286" t="str">
        <f>_xll.EPMMemberDesc(K39)</f>
        <v>Receivables. less allowance for uncollectibles</v>
      </c>
      <c r="M39" s="287">
        <v>0</v>
      </c>
      <c r="N39" s="287">
        <v>0</v>
      </c>
      <c r="O39" s="287">
        <v>0</v>
      </c>
      <c r="P39" s="287">
        <v>180622861.95599109</v>
      </c>
      <c r="Q39" s="287">
        <v>175763489.42048481</v>
      </c>
      <c r="R39" s="287">
        <v>172021889.3457132</v>
      </c>
      <c r="S39" s="287">
        <v>181133413.34776881</v>
      </c>
      <c r="T39" s="287">
        <v>197196739.6772559</v>
      </c>
      <c r="U39" s="287">
        <v>222828239.272773</v>
      </c>
      <c r="V39" s="287">
        <v>226629665.7880069</v>
      </c>
      <c r="W39" s="287">
        <v>219907805.39962009</v>
      </c>
      <c r="X39" s="287">
        <v>246125693.7306737</v>
      </c>
      <c r="Y39" s="287">
        <v>213040639.6031678</v>
      </c>
      <c r="Z39" s="287">
        <v>191750460.5404295</v>
      </c>
      <c r="AA39" s="287">
        <v>183694103.08344331</v>
      </c>
      <c r="AB39" s="287">
        <v>183694103.08344331</v>
      </c>
    </row>
    <row r="40" spans="9:28" ht="15" customHeight="1" x14ac:dyDescent="0.2">
      <c r="J40" s="286" t="str">
        <f xml:space="preserve"> _xll.EPMOlapMemberO("[COSTCENTER].[PARENTH1].[1001]","","1001","","000")</f>
        <v>1001</v>
      </c>
      <c r="K40" s="294" t="str">
        <f xml:space="preserve"> _xll.EPMOlapMemberO("[C_ACCOUNT].[PARENTH1].[RECEIVABLE]","","RECEIVABLE","","000")</f>
        <v>RECEIVABLE</v>
      </c>
      <c r="L40" s="286" t="str">
        <f>_xll.EPMMemberDesc(K40)</f>
        <v>Accounts Receivables - Outsiders</v>
      </c>
      <c r="M40" s="287">
        <v>0</v>
      </c>
      <c r="N40" s="287">
        <v>0</v>
      </c>
      <c r="O40" s="287">
        <v>0</v>
      </c>
      <c r="P40" s="287">
        <v>116764778.5198575</v>
      </c>
      <c r="Q40" s="287">
        <v>116172869.2007115</v>
      </c>
      <c r="R40" s="287">
        <v>110055878.3605095</v>
      </c>
      <c r="S40" s="287">
        <v>115191116.14957251</v>
      </c>
      <c r="T40" s="287">
        <v>122537643.68980449</v>
      </c>
      <c r="U40" s="287">
        <v>146146224.45455</v>
      </c>
      <c r="V40" s="287">
        <v>148201024.23270199</v>
      </c>
      <c r="W40" s="287">
        <v>136859031.18710101</v>
      </c>
      <c r="X40" s="287">
        <v>169856630.261206</v>
      </c>
      <c r="Y40" s="287">
        <v>141916399.6845755</v>
      </c>
      <c r="Z40" s="287">
        <v>127208473.70980451</v>
      </c>
      <c r="AA40" s="287">
        <v>117324893.00242551</v>
      </c>
      <c r="AB40" s="287">
        <v>117324893.00242551</v>
      </c>
    </row>
    <row r="41" spans="9:28" ht="15" customHeight="1" x14ac:dyDescent="0.25">
      <c r="J41" s="291" t="str">
        <f xml:space="preserve"> _xll.EPMOlapMemberO("[COSTCENTER].[PARENTH1].[1001]","","1001","","000")</f>
        <v>1001</v>
      </c>
      <c r="K41" s="295" t="str">
        <f xml:space="preserve"> _xll.EPMOlapMemberO("[C_ACCOUNT].[PARENTH1].[A_1420400]","","A_1420400","","000")</f>
        <v>A_1420400</v>
      </c>
      <c r="L41" s="293" t="str">
        <f>_xll.EPMMemberDesc(K41)</f>
        <v>AR - CRM (includes TEC-R) (RECON)</v>
      </c>
      <c r="M41" s="293">
        <v>0</v>
      </c>
      <c r="N41" s="293">
        <v>0</v>
      </c>
      <c r="O41" s="293">
        <v>0</v>
      </c>
      <c r="P41" s="293">
        <v>113229061.62633</v>
      </c>
      <c r="Q41" s="293">
        <v>112641111.307184</v>
      </c>
      <c r="R41" s="293">
        <v>106513340.46698201</v>
      </c>
      <c r="S41" s="293">
        <v>111651526.256045</v>
      </c>
      <c r="T41" s="293">
        <v>118989070.796277</v>
      </c>
      <c r="U41" s="293">
        <v>142626482.03354999</v>
      </c>
      <c r="V41" s="293">
        <v>144693308.81170201</v>
      </c>
      <c r="W41" s="293">
        <v>133350724.766101</v>
      </c>
      <c r="X41" s="293">
        <v>166343213.840206</v>
      </c>
      <c r="Y41" s="293">
        <v>138382812.79104799</v>
      </c>
      <c r="Z41" s="293">
        <v>123675348.816277</v>
      </c>
      <c r="AA41" s="293">
        <v>113791036.108898</v>
      </c>
      <c r="AB41" s="293">
        <v>113791036.108898</v>
      </c>
    </row>
    <row r="42" spans="9:28" ht="15" customHeight="1" x14ac:dyDescent="0.25">
      <c r="J42" s="291" t="str">
        <f xml:space="preserve"> _xll.EPMOlapMemberO("[COSTCENTER].[PARENTH1].[1001]","","1001","","000")</f>
        <v>1001</v>
      </c>
      <c r="K42" s="295" t="str">
        <f xml:space="preserve"> _xll.EPMOlapMemberO("[C_ACCOUNT].[PARENTH1].[A_1420401]","","A_1420401","","000")</f>
        <v>A_1420401</v>
      </c>
      <c r="L42" s="293" t="str">
        <f>_xll.EPMMemberDesc(K42)</f>
        <v>AR - CRM (includes TEC-R) (Posting)</v>
      </c>
      <c r="M42" s="293">
        <v>0</v>
      </c>
      <c r="N42" s="293">
        <v>0</v>
      </c>
      <c r="O42" s="293">
        <v>0</v>
      </c>
      <c r="P42" s="293">
        <v>-286267.81</v>
      </c>
      <c r="Q42" s="293">
        <v>-286267.81</v>
      </c>
      <c r="R42" s="293">
        <v>-286267.81</v>
      </c>
      <c r="S42" s="293">
        <v>-286267.81</v>
      </c>
      <c r="T42" s="293">
        <v>-286267.81</v>
      </c>
      <c r="U42" s="293">
        <v>-286267.81</v>
      </c>
      <c r="V42" s="293">
        <v>-286267.81</v>
      </c>
      <c r="W42" s="293">
        <v>-286267.81</v>
      </c>
      <c r="X42" s="293">
        <v>-286267.81</v>
      </c>
      <c r="Y42" s="293">
        <v>-286267.81</v>
      </c>
      <c r="Z42" s="293">
        <v>-286267.81</v>
      </c>
      <c r="AA42" s="293">
        <v>-286267.81</v>
      </c>
      <c r="AB42" s="293">
        <v>-286267.81</v>
      </c>
    </row>
    <row r="43" spans="9:28" ht="15" customHeight="1" x14ac:dyDescent="0.25">
      <c r="J43" s="291" t="str">
        <f xml:space="preserve"> _xll.EPMOlapMemberO("[COSTCENTER].[PARENTH1].[1001]","","1001","","000")</f>
        <v>1001</v>
      </c>
      <c r="K43" s="295" t="str">
        <f xml:space="preserve"> _xll.EPMOlapMemberO("[C_ACCOUNT].[PARENTH1].[A_1430000]","","A_1430000","","000")</f>
        <v>A_1430000</v>
      </c>
      <c r="L43" s="293" t="str">
        <f>_xll.EPMMemberDesc(K43)</f>
        <v>AR Misc Other (RECON)</v>
      </c>
      <c r="M43" s="293">
        <v>0</v>
      </c>
      <c r="N43" s="293">
        <v>0</v>
      </c>
      <c r="O43" s="293">
        <v>0</v>
      </c>
      <c r="P43" s="293">
        <v>3000000</v>
      </c>
      <c r="Q43" s="293">
        <v>3000000</v>
      </c>
      <c r="R43" s="293">
        <v>3000000</v>
      </c>
      <c r="S43" s="293">
        <v>3000000</v>
      </c>
      <c r="T43" s="293">
        <v>3000000</v>
      </c>
      <c r="U43" s="293">
        <v>3000000</v>
      </c>
      <c r="V43" s="293">
        <v>3000000</v>
      </c>
      <c r="W43" s="293">
        <v>3000000</v>
      </c>
      <c r="X43" s="293">
        <v>3000000</v>
      </c>
      <c r="Y43" s="293">
        <v>3000000</v>
      </c>
      <c r="Z43" s="293">
        <v>3000000</v>
      </c>
      <c r="AA43" s="293">
        <v>3000000</v>
      </c>
      <c r="AB43" s="293">
        <v>3000000</v>
      </c>
    </row>
    <row r="44" spans="9:28" ht="15" customHeight="1" x14ac:dyDescent="0.25">
      <c r="J44" s="291" t="str">
        <f xml:space="preserve"> _xll.EPMOlapMemberO("[COSTCENTER].[PARENTH1].[1001]","","1001","","000")</f>
        <v>1001</v>
      </c>
      <c r="K44" s="295" t="str">
        <f xml:space="preserve"> _xll.EPMOlapMemberO("[C_ACCOUNT].[PARENTH1].[A_1430001]","","A_1430001","","000")</f>
        <v>A_1430001</v>
      </c>
      <c r="L44" s="293" t="str">
        <f>_xll.EPMMemberDesc(K44)</f>
        <v>AR Misc Other (Posting)</v>
      </c>
      <c r="M44" s="293">
        <v>0</v>
      </c>
      <c r="N44" s="293">
        <v>0</v>
      </c>
      <c r="O44" s="293">
        <v>0</v>
      </c>
      <c r="P44" s="293">
        <v>821984.70352750004</v>
      </c>
      <c r="Q44" s="293">
        <v>818025.70352750004</v>
      </c>
      <c r="R44" s="293">
        <v>828805.70352750004</v>
      </c>
      <c r="S44" s="293">
        <v>825857.70352750004</v>
      </c>
      <c r="T44" s="293">
        <v>834840.70352750004</v>
      </c>
      <c r="U44" s="293">
        <v>806010.23100000003</v>
      </c>
      <c r="V44" s="293">
        <v>793983.23100000003</v>
      </c>
      <c r="W44" s="293">
        <v>794574.23100000003</v>
      </c>
      <c r="X44" s="293">
        <v>799684.23100000003</v>
      </c>
      <c r="Y44" s="293">
        <v>819854.70352750004</v>
      </c>
      <c r="Z44" s="293">
        <v>819392.70352750004</v>
      </c>
      <c r="AA44" s="293">
        <v>820124.70352750004</v>
      </c>
      <c r="AB44" s="293">
        <v>820124.70352750004</v>
      </c>
    </row>
    <row r="45" spans="9:28" ht="15" customHeight="1" x14ac:dyDescent="0.2">
      <c r="J45" s="286" t="str">
        <f xml:space="preserve"> _xll.EPMOlapMemberO("[COSTCENTER].[PARENTH1].[1001]","","1001","","000")</f>
        <v>1001</v>
      </c>
      <c r="K45" s="294" t="str">
        <f xml:space="preserve"> _xll.EPMOlapMemberO("[C_ACCOUNT].[PARENTH1].[AL_FOR_UNCOLL]","","AL_FOR_UNCOLL","","000")</f>
        <v>AL_FOR_UNCOLL</v>
      </c>
      <c r="L45" s="286" t="str">
        <f>_xll.EPMMemberDesc(K45)</f>
        <v>Allowance for Uncollectibles</v>
      </c>
      <c r="M45" s="287">
        <v>0</v>
      </c>
      <c r="N45" s="287">
        <v>0</v>
      </c>
      <c r="O45" s="287">
        <v>0</v>
      </c>
      <c r="P45" s="287">
        <v>-2063840.7838663999</v>
      </c>
      <c r="Q45" s="287">
        <v>-2081875.8402267001</v>
      </c>
      <c r="R45" s="287">
        <v>-2143421.1547963</v>
      </c>
      <c r="S45" s="287">
        <v>-2255059.3018037002</v>
      </c>
      <c r="T45" s="287">
        <v>-2389919.4125486002</v>
      </c>
      <c r="U45" s="287">
        <v>-2597005.6917770002</v>
      </c>
      <c r="V45" s="287">
        <v>-2701179.8046951001</v>
      </c>
      <c r="W45" s="287">
        <v>-2047037.3474808999</v>
      </c>
      <c r="X45" s="287">
        <v>-2068766.3405323001</v>
      </c>
      <c r="Y45" s="287">
        <v>-1901843.9714077001</v>
      </c>
      <c r="Z45" s="287">
        <v>-1779315.139375</v>
      </c>
      <c r="AA45" s="287">
        <v>-1740750.0089821999</v>
      </c>
      <c r="AB45" s="287">
        <v>-1740750.0089821999</v>
      </c>
    </row>
    <row r="46" spans="9:28" ht="15" customHeight="1" x14ac:dyDescent="0.25">
      <c r="J46" s="291" t="str">
        <f xml:space="preserve"> _xll.EPMOlapMemberO("[COSTCENTER].[PARENTH1].[1001]","","1001","","000")</f>
        <v>1001</v>
      </c>
      <c r="K46" s="295" t="str">
        <f xml:space="preserve"> _xll.EPMOlapMemberO("[C_ACCOUNT].[PARENTH1].[A_1440000]","","A_1440000","","000")</f>
        <v>A_1440000</v>
      </c>
      <c r="L46" s="293" t="str">
        <f>_xll.EPMMemberDesc(K46)</f>
        <v>Accumulated Provision for Uncollectible Accounts</v>
      </c>
      <c r="M46" s="293">
        <v>0</v>
      </c>
      <c r="N46" s="293">
        <v>0</v>
      </c>
      <c r="O46" s="293">
        <v>0</v>
      </c>
      <c r="P46" s="293">
        <v>-1441721.6238664</v>
      </c>
      <c r="Q46" s="293">
        <v>-1459756.6802266999</v>
      </c>
      <c r="R46" s="293">
        <v>-1521301.9947963001</v>
      </c>
      <c r="S46" s="293">
        <v>-1632940.1418037</v>
      </c>
      <c r="T46" s="293">
        <v>-1767800.2525486001</v>
      </c>
      <c r="U46" s="293">
        <v>-1974886.5317770001</v>
      </c>
      <c r="V46" s="293">
        <v>-2079060.6446950999</v>
      </c>
      <c r="W46" s="293">
        <v>-1424918.1874809</v>
      </c>
      <c r="X46" s="293">
        <v>-1446647.1805322999</v>
      </c>
      <c r="Y46" s="293">
        <v>-1279724.8114076999</v>
      </c>
      <c r="Z46" s="293">
        <v>-1157195.9793750001</v>
      </c>
      <c r="AA46" s="293">
        <v>-1118630.8489822</v>
      </c>
      <c r="AB46" s="293">
        <v>-1118630.8489822</v>
      </c>
    </row>
    <row r="47" spans="9:28" ht="15" customHeight="1" x14ac:dyDescent="0.25">
      <c r="J47" s="291" t="str">
        <f xml:space="preserve"> _xll.EPMOlapMemberO("[COSTCENTER].[PARENTH1].[1001]","","1001","","000")</f>
        <v>1001</v>
      </c>
      <c r="K47" s="295" t="str">
        <f xml:space="preserve"> _xll.EPMOlapMemberO("[C_ACCOUNT].[PARENTH1].[A_1440001]","","A_1440001","","000")</f>
        <v>A_1440001</v>
      </c>
      <c r="L47" s="293" t="str">
        <f>_xll.EPMMemberDesc(K47)</f>
        <v>Accum Provision for Uncollectible Accts - CRM FF</v>
      </c>
      <c r="M47" s="293">
        <v>0</v>
      </c>
      <c r="N47" s="293">
        <v>0</v>
      </c>
      <c r="O47" s="293">
        <v>0</v>
      </c>
      <c r="P47" s="293">
        <v>297228.65999999997</v>
      </c>
      <c r="Q47" s="293">
        <v>297228.65999999997</v>
      </c>
      <c r="R47" s="293">
        <v>297228.65999999997</v>
      </c>
      <c r="S47" s="293">
        <v>297228.65999999997</v>
      </c>
      <c r="T47" s="293">
        <v>297228.65999999997</v>
      </c>
      <c r="U47" s="293">
        <v>297228.65999999997</v>
      </c>
      <c r="V47" s="293">
        <v>297228.65999999997</v>
      </c>
      <c r="W47" s="293">
        <v>297228.65999999997</v>
      </c>
      <c r="X47" s="293">
        <v>297228.65999999997</v>
      </c>
      <c r="Y47" s="293">
        <v>297228.65999999997</v>
      </c>
      <c r="Z47" s="293">
        <v>297228.65999999997</v>
      </c>
      <c r="AA47" s="293">
        <v>297228.65999999997</v>
      </c>
      <c r="AB47" s="293">
        <v>297228.65999999997</v>
      </c>
    </row>
    <row r="48" spans="9:28" ht="15" customHeight="1" x14ac:dyDescent="0.25">
      <c r="J48" s="291" t="str">
        <f xml:space="preserve"> _xll.EPMOlapMemberO("[COSTCENTER].[PARENTH1].[1001]","","1001","","000")</f>
        <v>1001</v>
      </c>
      <c r="K48" s="295" t="str">
        <f xml:space="preserve"> _xll.EPMOlapMemberO("[C_ACCOUNT].[PARENTH1].[A_1440002]","","A_1440002","","000")</f>
        <v>A_1440002</v>
      </c>
      <c r="L48" s="293" t="str">
        <f>_xll.EPMMemberDesc(K48)</f>
        <v>Accum Provision for Uncollectible Accts - CRM GRT</v>
      </c>
      <c r="M48" s="293">
        <v>0</v>
      </c>
      <c r="N48" s="293">
        <v>0</v>
      </c>
      <c r="O48" s="293">
        <v>0</v>
      </c>
      <c r="P48" s="293">
        <v>282928.83</v>
      </c>
      <c r="Q48" s="293">
        <v>282928.83</v>
      </c>
      <c r="R48" s="293">
        <v>282928.83</v>
      </c>
      <c r="S48" s="293">
        <v>282928.83</v>
      </c>
      <c r="T48" s="293">
        <v>282928.83</v>
      </c>
      <c r="U48" s="293">
        <v>282928.83</v>
      </c>
      <c r="V48" s="293">
        <v>282928.83</v>
      </c>
      <c r="W48" s="293">
        <v>282928.83</v>
      </c>
      <c r="X48" s="293">
        <v>282928.83</v>
      </c>
      <c r="Y48" s="293">
        <v>282928.83</v>
      </c>
      <c r="Z48" s="293">
        <v>282928.83</v>
      </c>
      <c r="AA48" s="293">
        <v>282928.83</v>
      </c>
      <c r="AB48" s="293">
        <v>282928.83</v>
      </c>
    </row>
    <row r="49" spans="10:28" ht="15" customHeight="1" x14ac:dyDescent="0.25">
      <c r="J49" s="291" t="str">
        <f xml:space="preserve"> _xll.EPMOlapMemberO("[COSTCENTER].[PARENTH1].[1001]","","1001","","000")</f>
        <v>1001</v>
      </c>
      <c r="K49" s="295" t="str">
        <f xml:space="preserve"> _xll.EPMOlapMemberO("[C_ACCOUNT].[PARENTH1].[A_1440020]","","A_1440020","","000")</f>
        <v>A_1440020</v>
      </c>
      <c r="L49" s="293" t="str">
        <f>_xll.EPMMemberDesc(K49)</f>
        <v>Accum Provision for Uncollectible - Misc Billing</v>
      </c>
      <c r="M49" s="293">
        <v>0</v>
      </c>
      <c r="N49" s="293">
        <v>0</v>
      </c>
      <c r="O49" s="293">
        <v>0</v>
      </c>
      <c r="P49" s="293">
        <v>-1202276.6499999999</v>
      </c>
      <c r="Q49" s="293">
        <v>-1202276.6499999999</v>
      </c>
      <c r="R49" s="293">
        <v>-1202276.6499999999</v>
      </c>
      <c r="S49" s="293">
        <v>-1202276.6499999999</v>
      </c>
      <c r="T49" s="293">
        <v>-1202276.6499999999</v>
      </c>
      <c r="U49" s="293">
        <v>-1202276.6499999999</v>
      </c>
      <c r="V49" s="293">
        <v>-1202276.6499999999</v>
      </c>
      <c r="W49" s="293">
        <v>-1202276.6499999999</v>
      </c>
      <c r="X49" s="293">
        <v>-1202276.6499999999</v>
      </c>
      <c r="Y49" s="293">
        <v>-1202276.6499999999</v>
      </c>
      <c r="Z49" s="293">
        <v>-1202276.6499999999</v>
      </c>
      <c r="AA49" s="293">
        <v>-1202276.6499999999</v>
      </c>
      <c r="AB49" s="293">
        <v>-1202276.6499999999</v>
      </c>
    </row>
    <row r="50" spans="10:28" ht="15" customHeight="1" x14ac:dyDescent="0.2">
      <c r="J50" s="286" t="str">
        <f xml:space="preserve"> _xll.EPMOlapMemberO("[COSTCENTER].[PARENTH1].[1001]","","1001","","000")</f>
        <v>1001</v>
      </c>
      <c r="K50" s="294" t="str">
        <f xml:space="preserve"> _xll.EPMOlapMemberO("[C_ACCOUNT].[PARENTH1].[UNBILLED_REV_REC]","","Unbilled_Rev_Rec","","000")</f>
        <v>Unbilled_Rev_Rec</v>
      </c>
      <c r="L50" s="286" t="str">
        <f>_xll.EPMMemberDesc(K50)</f>
        <v>Unbilled revenue receivable</v>
      </c>
      <c r="M50" s="287">
        <v>0</v>
      </c>
      <c r="N50" s="287">
        <v>0</v>
      </c>
      <c r="O50" s="287">
        <v>0</v>
      </c>
      <c r="P50" s="287">
        <v>54802772.359999999</v>
      </c>
      <c r="Q50" s="287">
        <v>50553344.200000003</v>
      </c>
      <c r="R50" s="287">
        <v>52990280.280000001</v>
      </c>
      <c r="S50" s="287">
        <v>57078204.640000001</v>
      </c>
      <c r="T50" s="287">
        <v>65929863.539999999</v>
      </c>
      <c r="U50" s="287">
        <v>68159868.650000006</v>
      </c>
      <c r="V50" s="287">
        <v>70010669.5</v>
      </c>
      <c r="W50" s="287">
        <v>73976659.700000003</v>
      </c>
      <c r="X50" s="287">
        <v>67218677.950000003</v>
      </c>
      <c r="Y50" s="287">
        <v>61906932.030000001</v>
      </c>
      <c r="Z50" s="287">
        <v>55202150.109999999</v>
      </c>
      <c r="AA50" s="287">
        <v>56990808.229999997</v>
      </c>
      <c r="AB50" s="287">
        <v>56990808.229999997</v>
      </c>
    </row>
    <row r="51" spans="10:28" ht="15" customHeight="1" x14ac:dyDescent="0.25">
      <c r="J51" s="291" t="str">
        <f xml:space="preserve"> _xll.EPMOlapMemberO("[COSTCENTER].[PARENTH1].[1001]","","1001","","000")</f>
        <v>1001</v>
      </c>
      <c r="K51" s="295" t="str">
        <f xml:space="preserve"> _xll.EPMOlapMemberO("[C_ACCOUNT].[PARENTH1].[A_1730100]","","A_1730100","","000")</f>
        <v>A_1730100</v>
      </c>
      <c r="L51" s="293" t="str">
        <f>_xll.EPMMemberDesc(K51)</f>
        <v>Accrued Utility Revenues - Current</v>
      </c>
      <c r="M51" s="293">
        <v>0</v>
      </c>
      <c r="N51" s="293">
        <v>0</v>
      </c>
      <c r="O51" s="293">
        <v>0</v>
      </c>
      <c r="P51" s="293">
        <v>54802772.359999999</v>
      </c>
      <c r="Q51" s="293">
        <v>50553344.200000003</v>
      </c>
      <c r="R51" s="293">
        <v>52990280.280000001</v>
      </c>
      <c r="S51" s="293">
        <v>57078204.640000001</v>
      </c>
      <c r="T51" s="293">
        <v>65929863.539999999</v>
      </c>
      <c r="U51" s="293">
        <v>68159868.650000006</v>
      </c>
      <c r="V51" s="293">
        <v>70010669.5</v>
      </c>
      <c r="W51" s="293">
        <v>73976659.700000003</v>
      </c>
      <c r="X51" s="293">
        <v>67218677.950000003</v>
      </c>
      <c r="Y51" s="293">
        <v>61906932.030000001</v>
      </c>
      <c r="Z51" s="293">
        <v>55202150.109999999</v>
      </c>
      <c r="AA51" s="293">
        <v>56990808.229999997</v>
      </c>
      <c r="AB51" s="293">
        <v>56990808.229999997</v>
      </c>
    </row>
    <row r="52" spans="10:28" ht="15" customHeight="1" x14ac:dyDescent="0.2">
      <c r="J52" s="286" t="str">
        <f xml:space="preserve"> _xll.EPMOlapMemberO("[COSTCENTER].[PARENTH1].[1001]","","1001","","000")</f>
        <v>1001</v>
      </c>
      <c r="K52" s="294" t="str">
        <f xml:space="preserve"> _xll.EPMOlapMemberO("[C_ACCOUNT].[PARENTH1].[TRD_REC_INTCO]","","TRD_Rec_IntCo","","000")</f>
        <v>TRD_Rec_IntCo</v>
      </c>
      <c r="L52" s="286" t="str">
        <f>_xll.EPMMemberDesc(K52)</f>
        <v>Trade receivable - intercompany</v>
      </c>
      <c r="M52" s="287">
        <v>0</v>
      </c>
      <c r="N52" s="287">
        <v>0</v>
      </c>
      <c r="O52" s="287">
        <v>0</v>
      </c>
      <c r="P52" s="287">
        <v>11119151.859999999</v>
      </c>
      <c r="Q52" s="287">
        <v>11119151.859999999</v>
      </c>
      <c r="R52" s="287">
        <v>11119151.859999999</v>
      </c>
      <c r="S52" s="287">
        <v>11119151.859999999</v>
      </c>
      <c r="T52" s="287">
        <v>11119151.859999999</v>
      </c>
      <c r="U52" s="287">
        <v>11119151.859999999</v>
      </c>
      <c r="V52" s="287">
        <v>11119151.859999999</v>
      </c>
      <c r="W52" s="287">
        <v>11119151.859999999</v>
      </c>
      <c r="X52" s="287">
        <v>11119151.859999999</v>
      </c>
      <c r="Y52" s="287">
        <v>11119151.859999999</v>
      </c>
      <c r="Z52" s="287">
        <v>11119151.859999999</v>
      </c>
      <c r="AA52" s="287">
        <v>11119151.859999999</v>
      </c>
      <c r="AB52" s="287">
        <v>11119151.859999999</v>
      </c>
    </row>
    <row r="53" spans="10:28" ht="15" customHeight="1" x14ac:dyDescent="0.25">
      <c r="J53" s="291" t="str">
        <f xml:space="preserve"> _xll.EPMOlapMemberO("[COSTCENTER].[PARENTH1].[1001]","","1001","","000")</f>
        <v>1001</v>
      </c>
      <c r="K53" s="295" t="str">
        <f xml:space="preserve"> _xll.EPMOlapMemberO("[C_ACCOUNT].[PARENTH1].[A_1460700]","","A_1460700","","000")</f>
        <v>A_1460700</v>
      </c>
      <c r="L53" s="293" t="str">
        <f>_xll.EPMMemberDesc(K53)</f>
        <v>Trade Receivable-Intercompany (RECON)</v>
      </c>
      <c r="M53" s="293">
        <v>0</v>
      </c>
      <c r="N53" s="293">
        <v>0</v>
      </c>
      <c r="O53" s="293">
        <v>0</v>
      </c>
      <c r="P53" s="293">
        <v>4521660.3099999996</v>
      </c>
      <c r="Q53" s="293">
        <v>4521660.3099999996</v>
      </c>
      <c r="R53" s="293">
        <v>4521660.3099999996</v>
      </c>
      <c r="S53" s="293">
        <v>4521660.3099999996</v>
      </c>
      <c r="T53" s="293">
        <v>4521660.3099999996</v>
      </c>
      <c r="U53" s="293">
        <v>4521660.3099999996</v>
      </c>
      <c r="V53" s="293">
        <v>4521660.3099999996</v>
      </c>
      <c r="W53" s="293">
        <v>4521660.3099999996</v>
      </c>
      <c r="X53" s="293">
        <v>4521660.3099999996</v>
      </c>
      <c r="Y53" s="293">
        <v>4521660.3099999996</v>
      </c>
      <c r="Z53" s="293">
        <v>4521660.3099999996</v>
      </c>
      <c r="AA53" s="293">
        <v>4521660.3099999996</v>
      </c>
      <c r="AB53" s="293">
        <v>4521660.3099999996</v>
      </c>
    </row>
    <row r="54" spans="10:28" ht="15" customHeight="1" x14ac:dyDescent="0.25">
      <c r="J54" s="291" t="str">
        <f xml:space="preserve"> _xll.EPMOlapMemberO("[COSTCENTER].[PARENTH1].[1001]","","1001","","000")</f>
        <v>1001</v>
      </c>
      <c r="K54" s="295" t="str">
        <f xml:space="preserve"> _xll.EPMOlapMemberO("[C_ACCOUNT].[PARENTH1].[A_1460708]","","A_1460708","","000")</f>
        <v>A_1460708</v>
      </c>
      <c r="L54" s="293" t="str">
        <f>_xll.EPMMemberDesc(K54)</f>
        <v>Trade Receivable-Interco-Grand Bahama PowerCo E851</v>
      </c>
      <c r="M54" s="293">
        <v>0</v>
      </c>
      <c r="N54" s="293">
        <v>0</v>
      </c>
      <c r="O54" s="293">
        <v>0</v>
      </c>
      <c r="P54" s="293">
        <v>2833669.8</v>
      </c>
      <c r="Q54" s="293">
        <v>2833669.8</v>
      </c>
      <c r="R54" s="293">
        <v>2833669.8</v>
      </c>
      <c r="S54" s="293">
        <v>2833669.8</v>
      </c>
      <c r="T54" s="293">
        <v>2833669.8</v>
      </c>
      <c r="U54" s="293">
        <v>2833669.8</v>
      </c>
      <c r="V54" s="293">
        <v>2833669.8</v>
      </c>
      <c r="W54" s="293">
        <v>2833669.8</v>
      </c>
      <c r="X54" s="293">
        <v>2833669.8</v>
      </c>
      <c r="Y54" s="293">
        <v>2833669.8</v>
      </c>
      <c r="Z54" s="293">
        <v>2833669.8</v>
      </c>
      <c r="AA54" s="293">
        <v>2833669.8</v>
      </c>
      <c r="AB54" s="293">
        <v>2833669.8</v>
      </c>
    </row>
    <row r="55" spans="10:28" ht="15" customHeight="1" x14ac:dyDescent="0.25">
      <c r="J55" s="291" t="str">
        <f xml:space="preserve"> _xll.EPMOlapMemberO("[COSTCENTER].[PARENTH1].[1001]","","1001","","000")</f>
        <v>1001</v>
      </c>
      <c r="K55" s="295" t="str">
        <f xml:space="preserve"> _xll.EPMOlapMemberO("[C_ACCOUNT].[PARENTH1].[A_1460709]","","A_1460709","","000")</f>
        <v>A_1460709</v>
      </c>
      <c r="L55" s="293" t="str">
        <f>_xll.EPMMemberDesc(K55)</f>
        <v>Trade Receivable-Interco-Nova Scotia Power E001</v>
      </c>
      <c r="M55" s="293">
        <v>0</v>
      </c>
      <c r="N55" s="293">
        <v>0</v>
      </c>
      <c r="O55" s="293">
        <v>0</v>
      </c>
      <c r="P55" s="293">
        <v>13145.64</v>
      </c>
      <c r="Q55" s="293">
        <v>13145.64</v>
      </c>
      <c r="R55" s="293">
        <v>13145.64</v>
      </c>
      <c r="S55" s="293">
        <v>13145.64</v>
      </c>
      <c r="T55" s="293">
        <v>13145.64</v>
      </c>
      <c r="U55" s="293">
        <v>13145.64</v>
      </c>
      <c r="V55" s="293">
        <v>13145.64</v>
      </c>
      <c r="W55" s="293">
        <v>13145.64</v>
      </c>
      <c r="X55" s="293">
        <v>13145.64</v>
      </c>
      <c r="Y55" s="293">
        <v>13145.64</v>
      </c>
      <c r="Z55" s="293">
        <v>13145.64</v>
      </c>
      <c r="AA55" s="293">
        <v>13145.64</v>
      </c>
      <c r="AB55" s="293">
        <v>13145.64</v>
      </c>
    </row>
    <row r="56" spans="10:28" ht="15" customHeight="1" x14ac:dyDescent="0.25">
      <c r="J56" s="291" t="str">
        <f xml:space="preserve"> _xll.EPMOlapMemberO("[COSTCENTER].[PARENTH1].[1001]","","1001","","000")</f>
        <v>1001</v>
      </c>
      <c r="K56" s="295" t="str">
        <f xml:space="preserve"> _xll.EPMOlapMemberO("[C_ACCOUNT].[PARENTH1].[A_1460760]","","A_1460760","","000")</f>
        <v>A_1460760</v>
      </c>
      <c r="L56" s="293" t="str">
        <f>_xll.EPMMemberDesc(K56)</f>
        <v>Trade Rec-Interco-Emera Caribbean Inc E855</v>
      </c>
      <c r="M56" s="293">
        <v>0</v>
      </c>
      <c r="N56" s="293">
        <v>0</v>
      </c>
      <c r="O56" s="293">
        <v>0</v>
      </c>
      <c r="P56" s="293">
        <v>159399.6</v>
      </c>
      <c r="Q56" s="293">
        <v>159399.6</v>
      </c>
      <c r="R56" s="293">
        <v>159399.6</v>
      </c>
      <c r="S56" s="293">
        <v>159399.6</v>
      </c>
      <c r="T56" s="293">
        <v>159399.6</v>
      </c>
      <c r="U56" s="293">
        <v>159399.6</v>
      </c>
      <c r="V56" s="293">
        <v>159399.6</v>
      </c>
      <c r="W56" s="293">
        <v>159399.6</v>
      </c>
      <c r="X56" s="293">
        <v>159399.6</v>
      </c>
      <c r="Y56" s="293">
        <v>159399.6</v>
      </c>
      <c r="Z56" s="293">
        <v>159399.6</v>
      </c>
      <c r="AA56" s="293">
        <v>159399.6</v>
      </c>
      <c r="AB56" s="293">
        <v>159399.6</v>
      </c>
    </row>
    <row r="57" spans="10:28" ht="15" customHeight="1" x14ac:dyDescent="0.25">
      <c r="J57" s="291" t="str">
        <f xml:space="preserve"> _xll.EPMOlapMemberO("[COSTCENTER].[PARENTH1].[1001]","","1001","","000")</f>
        <v>1001</v>
      </c>
      <c r="K57" s="295" t="str">
        <f xml:space="preserve"> _xll.EPMOlapMemberO("[C_ACCOUNT].[PARENTH1].[A_1460761]","","A_1460761","","000")</f>
        <v>A_1460761</v>
      </c>
      <c r="L57" s="293" t="str">
        <f>_xll.EPMMemberDesc(K57)</f>
        <v>Trade Rec-Interco-Emera Maine E393</v>
      </c>
      <c r="M57" s="293">
        <v>0</v>
      </c>
      <c r="N57" s="293">
        <v>0</v>
      </c>
      <c r="O57" s="293">
        <v>0</v>
      </c>
      <c r="P57" s="293">
        <v>1298.9100000000001</v>
      </c>
      <c r="Q57" s="293">
        <v>1298.9100000000001</v>
      </c>
      <c r="R57" s="293">
        <v>1298.9100000000001</v>
      </c>
      <c r="S57" s="293">
        <v>1298.9100000000001</v>
      </c>
      <c r="T57" s="293">
        <v>1298.9100000000001</v>
      </c>
      <c r="U57" s="293">
        <v>1298.9100000000001</v>
      </c>
      <c r="V57" s="293">
        <v>1298.9100000000001</v>
      </c>
      <c r="W57" s="293">
        <v>1298.9100000000001</v>
      </c>
      <c r="X57" s="293">
        <v>1298.9100000000001</v>
      </c>
      <c r="Y57" s="293">
        <v>1298.9100000000001</v>
      </c>
      <c r="Z57" s="293">
        <v>1298.9100000000001</v>
      </c>
      <c r="AA57" s="293">
        <v>1298.9100000000001</v>
      </c>
      <c r="AB57" s="293">
        <v>1298.9100000000001</v>
      </c>
    </row>
    <row r="58" spans="10:28" ht="15" customHeight="1" x14ac:dyDescent="0.25">
      <c r="J58" s="291" t="str">
        <f xml:space="preserve"> _xll.EPMOlapMemberO("[COSTCENTER].[PARENTH1].[1001]","","1001","","000")</f>
        <v>1001</v>
      </c>
      <c r="K58" s="295" t="str">
        <f xml:space="preserve"> _xll.EPMOlapMemberO("[C_ACCOUNT].[PARENTH1].[A_1460762]","","A_1460762","","000")</f>
        <v>A_1460762</v>
      </c>
      <c r="L58" s="293" t="str">
        <f>_xll.EPMMemberDesc(K58)</f>
        <v>Trade Rec-Interco-Emera Energy Services Inc. E016</v>
      </c>
      <c r="M58" s="293">
        <v>0</v>
      </c>
      <c r="N58" s="293">
        <v>0</v>
      </c>
      <c r="O58" s="293">
        <v>0</v>
      </c>
      <c r="P58" s="293">
        <v>7260.13</v>
      </c>
      <c r="Q58" s="293">
        <v>7260.13</v>
      </c>
      <c r="R58" s="293">
        <v>7260.13</v>
      </c>
      <c r="S58" s="293">
        <v>7260.13</v>
      </c>
      <c r="T58" s="293">
        <v>7260.13</v>
      </c>
      <c r="U58" s="293">
        <v>7260.13</v>
      </c>
      <c r="V58" s="293">
        <v>7260.13</v>
      </c>
      <c r="W58" s="293">
        <v>7260.13</v>
      </c>
      <c r="X58" s="293">
        <v>7260.13</v>
      </c>
      <c r="Y58" s="293">
        <v>7260.13</v>
      </c>
      <c r="Z58" s="293">
        <v>7260.13</v>
      </c>
      <c r="AA58" s="293">
        <v>7260.13</v>
      </c>
      <c r="AB58" s="293">
        <v>7260.13</v>
      </c>
    </row>
    <row r="59" spans="10:28" ht="15" customHeight="1" x14ac:dyDescent="0.25">
      <c r="J59" s="291" t="str">
        <f xml:space="preserve"> _xll.EPMOlapMemberO("[COSTCENTER].[PARENTH1].[1001]","","1001","","000")</f>
        <v>1001</v>
      </c>
      <c r="K59" s="295" t="str">
        <f xml:space="preserve"> _xll.EPMOlapMemberO("[C_ACCOUNT].[PARENTH1].[A_1460780]","","A_1460780","","000")</f>
        <v>A_1460780</v>
      </c>
      <c r="L59" s="293" t="str">
        <f>_xll.EPMMemberDesc(K59)</f>
        <v>Trade Receivable-Emera Interco on SAP  E410 (RECON)</v>
      </c>
      <c r="M59" s="293">
        <v>0</v>
      </c>
      <c r="N59" s="293">
        <v>0</v>
      </c>
      <c r="O59" s="293">
        <v>0</v>
      </c>
      <c r="P59" s="293">
        <v>17601.7</v>
      </c>
      <c r="Q59" s="293">
        <v>17601.7</v>
      </c>
      <c r="R59" s="293">
        <v>17601.7</v>
      </c>
      <c r="S59" s="293">
        <v>17601.7</v>
      </c>
      <c r="T59" s="293">
        <v>17601.7</v>
      </c>
      <c r="U59" s="293">
        <v>17601.7</v>
      </c>
      <c r="V59" s="293">
        <v>17601.7</v>
      </c>
      <c r="W59" s="293">
        <v>17601.7</v>
      </c>
      <c r="X59" s="293">
        <v>17601.7</v>
      </c>
      <c r="Y59" s="293">
        <v>17601.7</v>
      </c>
      <c r="Z59" s="293">
        <v>17601.7</v>
      </c>
      <c r="AA59" s="293">
        <v>17601.7</v>
      </c>
      <c r="AB59" s="293">
        <v>17601.7</v>
      </c>
    </row>
    <row r="60" spans="10:28" ht="15" customHeight="1" x14ac:dyDescent="0.25">
      <c r="J60" s="291" t="str">
        <f xml:space="preserve"> _xll.EPMOlapMemberO("[COSTCENTER].[PARENTH1].[1001]","","1001","","000")</f>
        <v>1001</v>
      </c>
      <c r="K60" s="295" t="str">
        <f xml:space="preserve"> _xll.EPMOlapMemberO("[C_ACCOUNT].[PARENTH1].[A_1460791]","","A_1460791","","000")</f>
        <v>A_1460791</v>
      </c>
      <c r="L60" s="293" t="str">
        <f>_xll.EPMMemberDesc(K60)</f>
        <v>Trade Receivable-Emera Intercompany (Posting)</v>
      </c>
      <c r="M60" s="293">
        <v>0</v>
      </c>
      <c r="N60" s="293">
        <v>0</v>
      </c>
      <c r="O60" s="293">
        <v>0</v>
      </c>
      <c r="P60" s="293">
        <v>24000</v>
      </c>
      <c r="Q60" s="293">
        <v>24000</v>
      </c>
      <c r="R60" s="293">
        <v>24000</v>
      </c>
      <c r="S60" s="293">
        <v>24000</v>
      </c>
      <c r="T60" s="293">
        <v>24000</v>
      </c>
      <c r="U60" s="293">
        <v>24000</v>
      </c>
      <c r="V60" s="293">
        <v>24000</v>
      </c>
      <c r="W60" s="293">
        <v>24000</v>
      </c>
      <c r="X60" s="293">
        <v>24000</v>
      </c>
      <c r="Y60" s="293">
        <v>24000</v>
      </c>
      <c r="Z60" s="293">
        <v>24000</v>
      </c>
      <c r="AA60" s="293">
        <v>24000</v>
      </c>
      <c r="AB60" s="293">
        <v>24000</v>
      </c>
    </row>
    <row r="61" spans="10:28" ht="15" customHeight="1" x14ac:dyDescent="0.25">
      <c r="J61" s="291" t="str">
        <f xml:space="preserve"> _xll.EPMOlapMemberO("[COSTCENTER].[PARENTH1].[1001]","","1001","","000")</f>
        <v>1001</v>
      </c>
      <c r="K61" s="295" t="str">
        <f xml:space="preserve"> _xll.EPMOlapMemberO("[C_ACCOUNT].[PARENTH1].[A_1460799]","","A_1460799","","000")</f>
        <v>A_1460799</v>
      </c>
      <c r="L61" s="293" t="str">
        <f>_xll.EPMMemberDesc(K61)</f>
        <v>Trade Rec-Interco-Emera Energy Svc E016 Asset Mgmt</v>
      </c>
      <c r="M61" s="293">
        <v>0</v>
      </c>
      <c r="N61" s="293">
        <v>0</v>
      </c>
      <c r="O61" s="293">
        <v>0</v>
      </c>
      <c r="P61" s="293">
        <v>3541115.77</v>
      </c>
      <c r="Q61" s="293">
        <v>3541115.77</v>
      </c>
      <c r="R61" s="293">
        <v>3541115.77</v>
      </c>
      <c r="S61" s="293">
        <v>3541115.77</v>
      </c>
      <c r="T61" s="293">
        <v>3541115.77</v>
      </c>
      <c r="U61" s="293">
        <v>3541115.77</v>
      </c>
      <c r="V61" s="293">
        <v>3541115.77</v>
      </c>
      <c r="W61" s="293">
        <v>3541115.77</v>
      </c>
      <c r="X61" s="293">
        <v>3541115.77</v>
      </c>
      <c r="Y61" s="293">
        <v>3541115.77</v>
      </c>
      <c r="Z61" s="293">
        <v>3541115.77</v>
      </c>
      <c r="AA61" s="293">
        <v>3541115.77</v>
      </c>
      <c r="AB61" s="293">
        <v>3541115.77</v>
      </c>
    </row>
    <row r="62" spans="10:28" ht="15" customHeight="1" x14ac:dyDescent="0.2">
      <c r="J62" s="286" t="str">
        <f xml:space="preserve"> _xll.EPMOlapMemberO("[COSTCENTER].[PARENTH1].[1001]","","1001","","000")</f>
        <v>1001</v>
      </c>
      <c r="K62" s="290" t="str">
        <f xml:space="preserve"> _xll.EPMOlapMemberO("[C_ACCOUNT].[PARENTH1].[INVT_AVGCST]","","INVT_AVGCST","","000")</f>
        <v>INVT_AVGCST</v>
      </c>
      <c r="L62" s="286" t="str">
        <f>_xll.EPMMemberDesc(K62)</f>
        <v>Inventories. at average cost</v>
      </c>
      <c r="M62" s="287">
        <v>0</v>
      </c>
      <c r="N62" s="287">
        <v>0</v>
      </c>
      <c r="O62" s="287">
        <v>0</v>
      </c>
      <c r="P62" s="287">
        <v>131989000</v>
      </c>
      <c r="Q62" s="287">
        <v>130504000</v>
      </c>
      <c r="R62" s="287">
        <v>130413000</v>
      </c>
      <c r="S62" s="287">
        <v>129728000</v>
      </c>
      <c r="T62" s="287">
        <v>126593000</v>
      </c>
      <c r="U62" s="287">
        <v>124516000</v>
      </c>
      <c r="V62" s="287">
        <v>124486000</v>
      </c>
      <c r="W62" s="287">
        <v>124246000</v>
      </c>
      <c r="X62" s="287">
        <v>123236000</v>
      </c>
      <c r="Y62" s="287">
        <v>123328000</v>
      </c>
      <c r="Z62" s="287">
        <v>125993000</v>
      </c>
      <c r="AA62" s="287">
        <v>127253000</v>
      </c>
      <c r="AB62" s="287">
        <v>127253000</v>
      </c>
    </row>
    <row r="63" spans="10:28" ht="15" customHeight="1" x14ac:dyDescent="0.2">
      <c r="J63" s="286" t="str">
        <f xml:space="preserve"> _xll.EPMOlapMemberO("[COSTCENTER].[PARENTH1].[1001]","","1001","","000")</f>
        <v>1001</v>
      </c>
      <c r="K63" s="294" t="str">
        <f xml:space="preserve"> _xll.EPMOlapMemberO("[C_ACCOUNT].[PARENTH1].[FUEL_ASSET]","","FUEL_ASSET","","000")</f>
        <v>FUEL_ASSET</v>
      </c>
      <c r="L63" s="286" t="str">
        <f>_xll.EPMMemberDesc(K63)</f>
        <v>Fuel Asset</v>
      </c>
      <c r="M63" s="287">
        <v>0</v>
      </c>
      <c r="N63" s="287">
        <v>0</v>
      </c>
      <c r="O63" s="287">
        <v>0</v>
      </c>
      <c r="P63" s="287">
        <v>25289000</v>
      </c>
      <c r="Q63" s="287">
        <v>23704000</v>
      </c>
      <c r="R63" s="287">
        <v>23513000</v>
      </c>
      <c r="S63" s="287">
        <v>22578000</v>
      </c>
      <c r="T63" s="287">
        <v>19343000</v>
      </c>
      <c r="U63" s="287">
        <v>17016000</v>
      </c>
      <c r="V63" s="287">
        <v>16886000</v>
      </c>
      <c r="W63" s="287">
        <v>16546000</v>
      </c>
      <c r="X63" s="287">
        <v>15436000</v>
      </c>
      <c r="Y63" s="287">
        <v>15428000</v>
      </c>
      <c r="Z63" s="287">
        <v>17993000</v>
      </c>
      <c r="AA63" s="287">
        <v>19153000</v>
      </c>
      <c r="AB63" s="287">
        <v>19153000</v>
      </c>
    </row>
    <row r="64" spans="10:28" ht="15" customHeight="1" x14ac:dyDescent="0.25">
      <c r="J64" s="291" t="str">
        <f xml:space="preserve"> _xll.EPMOlapMemberO("[COSTCENTER].[PARENTH1].[1001]","","1001","","000")</f>
        <v>1001</v>
      </c>
      <c r="K64" s="295" t="str">
        <f xml:space="preserve"> _xll.EPMOlapMemberO("[C_ACCOUNT].[PARENTH1].[A_1510020]","","A_1510020","","000")</f>
        <v>A_1510020</v>
      </c>
      <c r="L64" s="293" t="str">
        <f>_xll.EPMMemberDesc(K64)</f>
        <v>Fuel Stock - Coal</v>
      </c>
      <c r="M64" s="293">
        <v>0</v>
      </c>
      <c r="N64" s="293">
        <v>0</v>
      </c>
      <c r="O64" s="293">
        <v>0</v>
      </c>
      <c r="P64" s="293">
        <v>20025000</v>
      </c>
      <c r="Q64" s="293">
        <v>18455000</v>
      </c>
      <c r="R64" s="293">
        <v>18483000</v>
      </c>
      <c r="S64" s="293">
        <v>17757000</v>
      </c>
      <c r="T64" s="293">
        <v>14407000</v>
      </c>
      <c r="U64" s="293">
        <v>12192000</v>
      </c>
      <c r="V64" s="293">
        <v>12157000</v>
      </c>
      <c r="W64" s="293">
        <v>11909000</v>
      </c>
      <c r="X64" s="293">
        <v>10883000</v>
      </c>
      <c r="Y64" s="293">
        <v>10934000</v>
      </c>
      <c r="Z64" s="293">
        <v>13812000</v>
      </c>
      <c r="AA64" s="293">
        <v>14987000</v>
      </c>
      <c r="AB64" s="293">
        <v>14987000</v>
      </c>
    </row>
    <row r="65" spans="10:28" ht="15" customHeight="1" x14ac:dyDescent="0.25">
      <c r="J65" s="291" t="str">
        <f xml:space="preserve"> _xll.EPMOlapMemberO("[COSTCENTER].[PARENTH1].[1001]","","1001","","000")</f>
        <v>1001</v>
      </c>
      <c r="K65" s="295" t="str">
        <f xml:space="preserve"> _xll.EPMOlapMemberO("[C_ACCOUNT].[PARENTH1].[A_1510030]","","A_1510030","","000")</f>
        <v>A_1510030</v>
      </c>
      <c r="L65" s="293" t="str">
        <f>_xll.EPMMemberDesc(K65)</f>
        <v>Fuel Stock - #2 Oil</v>
      </c>
      <c r="M65" s="293">
        <v>0</v>
      </c>
      <c r="N65" s="293">
        <v>0</v>
      </c>
      <c r="O65" s="293">
        <v>0</v>
      </c>
      <c r="P65" s="293">
        <v>4294000</v>
      </c>
      <c r="Q65" s="293">
        <v>4294000</v>
      </c>
      <c r="R65" s="293">
        <v>4115000</v>
      </c>
      <c r="S65" s="293">
        <v>3994000</v>
      </c>
      <c r="T65" s="293">
        <v>3851000</v>
      </c>
      <c r="U65" s="293">
        <v>3729000</v>
      </c>
      <c r="V65" s="293">
        <v>3620000</v>
      </c>
      <c r="W65" s="293">
        <v>3526000</v>
      </c>
      <c r="X65" s="293">
        <v>3446000</v>
      </c>
      <c r="Y65" s="293">
        <v>3379000</v>
      </c>
      <c r="Z65" s="293">
        <v>3330000</v>
      </c>
      <c r="AA65" s="293">
        <v>3276000</v>
      </c>
      <c r="AB65" s="293">
        <v>3276000</v>
      </c>
    </row>
    <row r="66" spans="10:28" ht="15" customHeight="1" x14ac:dyDescent="0.25">
      <c r="J66" s="291" t="str">
        <f xml:space="preserve"> _xll.EPMOlapMemberO("[COSTCENTER].[PARENTH1].[1001]","","1001","","000")</f>
        <v>1001</v>
      </c>
      <c r="K66" s="295" t="str">
        <f xml:space="preserve"> _xll.EPMOlapMemberO("[C_ACCOUNT].[PARENTH1].[A_1510050]","","A_1510050","","000")</f>
        <v>A_1510050</v>
      </c>
      <c r="L66" s="293" t="str">
        <f>_xll.EPMMemberDesc(K66)</f>
        <v>Fuel Stock - Natural Gas</v>
      </c>
      <c r="M66" s="293">
        <v>0</v>
      </c>
      <c r="N66" s="293">
        <v>0</v>
      </c>
      <c r="O66" s="293">
        <v>0</v>
      </c>
      <c r="P66" s="293">
        <v>970000</v>
      </c>
      <c r="Q66" s="293">
        <v>955000</v>
      </c>
      <c r="R66" s="293">
        <v>915000</v>
      </c>
      <c r="S66" s="293">
        <v>827000</v>
      </c>
      <c r="T66" s="293">
        <v>1085000</v>
      </c>
      <c r="U66" s="293">
        <v>1095000</v>
      </c>
      <c r="V66" s="293">
        <v>1109000</v>
      </c>
      <c r="W66" s="293">
        <v>1111000</v>
      </c>
      <c r="X66" s="293">
        <v>1107000</v>
      </c>
      <c r="Y66" s="293">
        <v>1115000</v>
      </c>
      <c r="Z66" s="293">
        <v>851000</v>
      </c>
      <c r="AA66" s="293">
        <v>890000</v>
      </c>
      <c r="AB66" s="293">
        <v>890000</v>
      </c>
    </row>
    <row r="67" spans="10:28" ht="15" customHeight="1" x14ac:dyDescent="0.2">
      <c r="J67" s="286" t="str">
        <f xml:space="preserve"> _xll.EPMOlapMemberO("[COSTCENTER].[PARENTH1].[1001]","","1001","","000")</f>
        <v>1001</v>
      </c>
      <c r="K67" s="294" t="str">
        <f xml:space="preserve"> _xll.EPMOlapMemberO("[C_ACCOUNT].[PARENTH1].[MAT_SUPPLIES]","","MAT_SUPPLIES","","000")</f>
        <v>MAT_SUPPLIES</v>
      </c>
      <c r="L67" s="286" t="str">
        <f>_xll.EPMMemberDesc(K67)</f>
        <v>Materials and Supplies</v>
      </c>
      <c r="M67" s="287">
        <v>0</v>
      </c>
      <c r="N67" s="287">
        <v>0</v>
      </c>
      <c r="O67" s="287">
        <v>0</v>
      </c>
      <c r="P67" s="287">
        <v>106700000</v>
      </c>
      <c r="Q67" s="287">
        <v>106800000</v>
      </c>
      <c r="R67" s="287">
        <v>106900000</v>
      </c>
      <c r="S67" s="287">
        <v>107150000</v>
      </c>
      <c r="T67" s="287">
        <v>107250000</v>
      </c>
      <c r="U67" s="287">
        <v>107500000</v>
      </c>
      <c r="V67" s="287">
        <v>107600000</v>
      </c>
      <c r="W67" s="287">
        <v>107700000</v>
      </c>
      <c r="X67" s="287">
        <v>107800000</v>
      </c>
      <c r="Y67" s="287">
        <v>107900000</v>
      </c>
      <c r="Z67" s="287">
        <v>108000000</v>
      </c>
      <c r="AA67" s="287">
        <v>108100000</v>
      </c>
      <c r="AB67" s="287">
        <v>108100000</v>
      </c>
    </row>
    <row r="68" spans="10:28" ht="15" customHeight="1" x14ac:dyDescent="0.25">
      <c r="J68" s="291" t="str">
        <f xml:space="preserve"> _xll.EPMOlapMemberO("[COSTCENTER].[PARENTH1].[1001]","","1001","","000")</f>
        <v>1001</v>
      </c>
      <c r="K68" s="295" t="str">
        <f xml:space="preserve"> _xll.EPMOlapMemberO("[C_ACCOUNT].[PARENTH1].[A_1540000]","","A_1540000","","000")</f>
        <v>A_1540000</v>
      </c>
      <c r="L68" s="293" t="str">
        <f>_xll.EPMMemberDesc(K68)</f>
        <v>Plant Materials and Operating Supplies (RECON)</v>
      </c>
      <c r="M68" s="293">
        <v>0</v>
      </c>
      <c r="N68" s="293">
        <v>0</v>
      </c>
      <c r="O68" s="293">
        <v>0</v>
      </c>
      <c r="P68" s="293">
        <v>106700000</v>
      </c>
      <c r="Q68" s="293">
        <v>106800000</v>
      </c>
      <c r="R68" s="293">
        <v>106900000</v>
      </c>
      <c r="S68" s="293">
        <v>107150000</v>
      </c>
      <c r="T68" s="293">
        <v>107250000</v>
      </c>
      <c r="U68" s="293">
        <v>107500000</v>
      </c>
      <c r="V68" s="293">
        <v>107600000</v>
      </c>
      <c r="W68" s="293">
        <v>107700000</v>
      </c>
      <c r="X68" s="293">
        <v>107800000</v>
      </c>
      <c r="Y68" s="293">
        <v>107900000</v>
      </c>
      <c r="Z68" s="293">
        <v>108000000</v>
      </c>
      <c r="AA68" s="293">
        <v>108100000</v>
      </c>
      <c r="AB68" s="293">
        <v>108100000</v>
      </c>
    </row>
    <row r="69" spans="10:28" ht="15" customHeight="1" x14ac:dyDescent="0.2">
      <c r="J69" s="286" t="str">
        <f xml:space="preserve"> _xll.EPMOlapMemberO("[COSTCENTER].[PARENTH1].[1001]","","1001","","000")</f>
        <v>1001</v>
      </c>
      <c r="K69" s="290" t="str">
        <f xml:space="preserve"> _xll.EPMOlapMemberO("[C_ACCOUNT].[PARENTH1].[PREPAYMENT_OTHCRNAST]","","PREPAYMENT_OTHCRNAST","","000")</f>
        <v>PREPAYMENT_OTHCRNAST</v>
      </c>
      <c r="L69" s="286" t="str">
        <f>_xll.EPMMemberDesc(K69)</f>
        <v>Prepayments and other current assets</v>
      </c>
      <c r="M69" s="287">
        <v>0</v>
      </c>
      <c r="N69" s="287">
        <v>0</v>
      </c>
      <c r="O69" s="287">
        <v>0</v>
      </c>
      <c r="P69" s="287">
        <v>8749084.0763879996</v>
      </c>
      <c r="Q69" s="287">
        <v>7047425.4689213</v>
      </c>
      <c r="R69" s="287">
        <v>19939799.9706547</v>
      </c>
      <c r="S69" s="287">
        <v>18539415.849987999</v>
      </c>
      <c r="T69" s="287">
        <v>15403806.8317213</v>
      </c>
      <c r="U69" s="287">
        <v>26971732.6770547</v>
      </c>
      <c r="V69" s="287">
        <v>25504030.446387999</v>
      </c>
      <c r="W69" s="287">
        <v>22969118.575923901</v>
      </c>
      <c r="X69" s="287">
        <v>22617267.054184198</v>
      </c>
      <c r="Y69" s="287">
        <v>21750105.522564601</v>
      </c>
      <c r="Z69" s="287">
        <v>18369768.466905002</v>
      </c>
      <c r="AA69" s="287">
        <v>16880568.917565402</v>
      </c>
      <c r="AB69" s="287">
        <v>16880568.917565402</v>
      </c>
    </row>
    <row r="70" spans="10:28" ht="15" customHeight="1" x14ac:dyDescent="0.2">
      <c r="J70" s="286" t="str">
        <f xml:space="preserve"> _xll.EPMOlapMemberO("[COSTCENTER].[PARENTH1].[1001]","","1001","","000")</f>
        <v>1001</v>
      </c>
      <c r="K70" s="294" t="str">
        <f xml:space="preserve"> _xll.EPMOlapMemberO("[C_ACCOUNT].[PARENTH1].[PREPAYMENT]","","PREPAYMENT","","000")</f>
        <v>PREPAYMENT</v>
      </c>
      <c r="L70" s="286" t="str">
        <f>_xll.EPMMemberDesc(K70)</f>
        <v>Prepayments</v>
      </c>
      <c r="M70" s="287">
        <v>0</v>
      </c>
      <c r="N70" s="287">
        <v>0</v>
      </c>
      <c r="O70" s="287">
        <v>0</v>
      </c>
      <c r="P70" s="287">
        <v>8749084.0763879996</v>
      </c>
      <c r="Q70" s="287">
        <v>7047425.4689213</v>
      </c>
      <c r="R70" s="287">
        <v>19939799.9706547</v>
      </c>
      <c r="S70" s="287">
        <v>18539415.849987999</v>
      </c>
      <c r="T70" s="287">
        <v>15403806.8317213</v>
      </c>
      <c r="U70" s="287">
        <v>26971732.6770547</v>
      </c>
      <c r="V70" s="287">
        <v>25504030.446387999</v>
      </c>
      <c r="W70" s="287">
        <v>22969118.575923901</v>
      </c>
      <c r="X70" s="287">
        <v>22617267.054184198</v>
      </c>
      <c r="Y70" s="287">
        <v>21750105.522564601</v>
      </c>
      <c r="Z70" s="287">
        <v>18369768.466905002</v>
      </c>
      <c r="AA70" s="287">
        <v>16880568.917565402</v>
      </c>
      <c r="AB70" s="287">
        <v>16880568.917565402</v>
      </c>
    </row>
    <row r="71" spans="10:28" ht="15" customHeight="1" x14ac:dyDescent="0.25">
      <c r="J71" s="291" t="str">
        <f xml:space="preserve"> _xll.EPMOlapMemberO("[COSTCENTER].[PARENTH1].[1001]","","1001","","000")</f>
        <v>1001</v>
      </c>
      <c r="K71" s="295" t="str">
        <f xml:space="preserve"> _xll.EPMOlapMemberO("[C_ACCOUNT].[PARENTH1].[A_1650050]","","A_1650050","","000")</f>
        <v>A_1650050</v>
      </c>
      <c r="L71" s="293" t="str">
        <f>_xll.EPMMemberDesc(K71)</f>
        <v>Prepaid Short-term Debt Facility Fees</v>
      </c>
      <c r="M71" s="293">
        <v>0</v>
      </c>
      <c r="N71" s="293">
        <v>0</v>
      </c>
      <c r="O71" s="293">
        <v>0</v>
      </c>
      <c r="P71" s="293">
        <v>325774.76</v>
      </c>
      <c r="Q71" s="293">
        <v>299024.62</v>
      </c>
      <c r="R71" s="293">
        <v>272274.48</v>
      </c>
      <c r="S71" s="293">
        <v>249584.94</v>
      </c>
      <c r="T71" s="293">
        <v>226895.4</v>
      </c>
      <c r="U71" s="293">
        <v>204205.86</v>
      </c>
      <c r="V71" s="293">
        <v>181516.32</v>
      </c>
      <c r="W71" s="293">
        <v>158826.78</v>
      </c>
      <c r="X71" s="293">
        <v>136137.24</v>
      </c>
      <c r="Y71" s="293">
        <v>113447.7</v>
      </c>
      <c r="Z71" s="293">
        <v>90758.16</v>
      </c>
      <c r="AA71" s="293">
        <v>68068.62</v>
      </c>
      <c r="AB71" s="293">
        <v>68068.62</v>
      </c>
    </row>
    <row r="72" spans="10:28" ht="15" customHeight="1" x14ac:dyDescent="0.25">
      <c r="J72" s="291" t="str">
        <f xml:space="preserve"> _xll.EPMOlapMemberO("[COSTCENTER].[PARENTH1].[1001]","","1001","","000")</f>
        <v>1001</v>
      </c>
      <c r="K72" s="295" t="str">
        <f xml:space="preserve"> _xll.EPMOlapMemberO("[C_ACCOUNT].[PARENTH1].[A_1650401]","","A_1650401","","000")</f>
        <v>A_1650401</v>
      </c>
      <c r="L72" s="293" t="str">
        <f>_xll.EPMMemberDesc(K72)</f>
        <v>Prepaid LTSA - Polk Unit #1</v>
      </c>
      <c r="M72" s="293">
        <v>0</v>
      </c>
      <c r="N72" s="293">
        <v>0</v>
      </c>
      <c r="O72" s="293">
        <v>0</v>
      </c>
      <c r="P72" s="293">
        <v>1372124.169588</v>
      </c>
      <c r="Q72" s="293">
        <v>1372124.169588</v>
      </c>
      <c r="R72" s="293">
        <v>1372124.169588</v>
      </c>
      <c r="S72" s="293">
        <v>1372124.169588</v>
      </c>
      <c r="T72" s="293">
        <v>1372124.169588</v>
      </c>
      <c r="U72" s="293">
        <v>1372124.169588</v>
      </c>
      <c r="V72" s="293">
        <v>1372124.169588</v>
      </c>
      <c r="W72" s="293">
        <v>1372124.169588</v>
      </c>
      <c r="X72" s="293">
        <v>1372124.169588</v>
      </c>
      <c r="Y72" s="293">
        <v>1372124.169588</v>
      </c>
      <c r="Z72" s="293">
        <v>1372124.169588</v>
      </c>
      <c r="AA72" s="293">
        <v>1372124.169588</v>
      </c>
      <c r="AB72" s="293">
        <v>1372124.169588</v>
      </c>
    </row>
    <row r="73" spans="10:28" ht="15" customHeight="1" x14ac:dyDescent="0.25">
      <c r="J73" s="291" t="str">
        <f xml:space="preserve"> _xll.EPMOlapMemberO("[COSTCENTER].[PARENTH1].[1001]","","1001","","000")</f>
        <v>1001</v>
      </c>
      <c r="K73" s="295" t="str">
        <f xml:space="preserve"> _xll.EPMOlapMemberO("[C_ACCOUNT].[PARENTH1].[A_1650402]","","A_1650402","","000")</f>
        <v>A_1650402</v>
      </c>
      <c r="L73" s="293" t="str">
        <f>_xll.EPMMemberDesc(K73)</f>
        <v>Prepaid CSA - Polk Unit #2</v>
      </c>
      <c r="M73" s="293">
        <v>0</v>
      </c>
      <c r="N73" s="293">
        <v>0</v>
      </c>
      <c r="O73" s="293">
        <v>0</v>
      </c>
      <c r="P73" s="293">
        <v>-704807.35959999997</v>
      </c>
      <c r="Q73" s="293">
        <v>-715119.50199999998</v>
      </c>
      <c r="R73" s="293">
        <v>8551.7831999999999</v>
      </c>
      <c r="S73" s="293">
        <v>181413.93119999999</v>
      </c>
      <c r="T73" s="293">
        <v>19232.216400000001</v>
      </c>
      <c r="U73" s="293">
        <v>743271.79240000003</v>
      </c>
      <c r="V73" s="293">
        <v>1066898.6403999999</v>
      </c>
      <c r="W73" s="293">
        <v>904716.92559999996</v>
      </c>
      <c r="X73" s="293">
        <v>1628756.5016000001</v>
      </c>
      <c r="Y73" s="293">
        <v>2107285.1829200001</v>
      </c>
      <c r="Z73" s="293">
        <v>1946687.1185600001</v>
      </c>
      <c r="AA73" s="293">
        <v>2670358.4037600001</v>
      </c>
      <c r="AB73" s="293">
        <v>2670358.4037600001</v>
      </c>
    </row>
    <row r="74" spans="10:28" ht="15" customHeight="1" x14ac:dyDescent="0.25">
      <c r="J74" s="291" t="str">
        <f xml:space="preserve"> _xll.EPMOlapMemberO("[COSTCENTER].[PARENTH1].[1001]","","1001","","000")</f>
        <v>1001</v>
      </c>
      <c r="K74" s="295" t="str">
        <f xml:space="preserve"> _xll.EPMOlapMemberO("[C_ACCOUNT].[PARENTH1].[A_1650403]","","A_1650403","","000")</f>
        <v>A_1650403</v>
      </c>
      <c r="L74" s="293" t="str">
        <f>_xll.EPMMemberDesc(K74)</f>
        <v>Prepaid CSA - Polk Unit #3</v>
      </c>
      <c r="M74" s="293">
        <v>0</v>
      </c>
      <c r="N74" s="293">
        <v>0</v>
      </c>
      <c r="O74" s="293">
        <v>0</v>
      </c>
      <c r="P74" s="293">
        <v>-602956.40960000001</v>
      </c>
      <c r="Q74" s="293">
        <v>-613268.55200000003</v>
      </c>
      <c r="R74" s="293">
        <v>25243.733199999999</v>
      </c>
      <c r="S74" s="293">
        <v>198105.8812</v>
      </c>
      <c r="T74" s="293">
        <v>35924.166400000002</v>
      </c>
      <c r="U74" s="293">
        <v>674804.74239999999</v>
      </c>
      <c r="V74" s="293">
        <v>998431.59039999999</v>
      </c>
      <c r="W74" s="293">
        <v>836249.87560000003</v>
      </c>
      <c r="X74" s="293">
        <v>1475130.4516</v>
      </c>
      <c r="Y74" s="293">
        <v>1949890.2904000001</v>
      </c>
      <c r="Z74" s="293">
        <v>1792934.2128399999</v>
      </c>
      <c r="AA74" s="293">
        <v>2431446.49804</v>
      </c>
      <c r="AB74" s="293">
        <v>2431446.49804</v>
      </c>
    </row>
    <row r="75" spans="10:28" ht="15" customHeight="1" x14ac:dyDescent="0.25">
      <c r="J75" s="291" t="str">
        <f xml:space="preserve"> _xll.EPMOlapMemberO("[COSTCENTER].[PARENTH1].[1001]","","1001","","000")</f>
        <v>1001</v>
      </c>
      <c r="K75" s="295" t="str">
        <f xml:space="preserve"> _xll.EPMOlapMemberO("[C_ACCOUNT].[PARENTH1].[A_1650404]","","A_1650404","","000")</f>
        <v>A_1650404</v>
      </c>
      <c r="L75" s="293" t="str">
        <f>_xll.EPMMemberDesc(K75)</f>
        <v>Prepaid CSA - Polk Unit #4</v>
      </c>
      <c r="M75" s="293">
        <v>0</v>
      </c>
      <c r="N75" s="293">
        <v>0</v>
      </c>
      <c r="O75" s="293">
        <v>0</v>
      </c>
      <c r="P75" s="293">
        <v>91791.672000000006</v>
      </c>
      <c r="Q75" s="293">
        <v>86062.703999999998</v>
      </c>
      <c r="R75" s="293">
        <v>1331.2180000000001</v>
      </c>
      <c r="S75" s="293">
        <v>164372.27799999999</v>
      </c>
      <c r="T75" s="293">
        <v>7264.7920000000004</v>
      </c>
      <c r="U75" s="293">
        <v>-77262.088000000003</v>
      </c>
      <c r="V75" s="293">
        <v>236543.67199999999</v>
      </c>
      <c r="W75" s="293">
        <v>79436.186000000002</v>
      </c>
      <c r="X75" s="293">
        <v>-5090.6940000000004</v>
      </c>
      <c r="Y75" s="293">
        <v>459684.37199999997</v>
      </c>
      <c r="Z75" s="293">
        <v>303804.522</v>
      </c>
      <c r="AA75" s="293">
        <v>219073.03599999999</v>
      </c>
      <c r="AB75" s="293">
        <v>219073.03599999999</v>
      </c>
    </row>
    <row r="76" spans="10:28" ht="15" customHeight="1" x14ac:dyDescent="0.25">
      <c r="J76" s="291" t="str">
        <f xml:space="preserve"> _xll.EPMOlapMemberO("[COSTCENTER].[PARENTH1].[1001]","","1001","","000")</f>
        <v>1001</v>
      </c>
      <c r="K76" s="295" t="str">
        <f xml:space="preserve"> _xll.EPMOlapMemberO("[C_ACCOUNT].[PARENTH1].[A_1650405]","","A_1650405","","000")</f>
        <v>A_1650405</v>
      </c>
      <c r="L76" s="293" t="str">
        <f>_xll.EPMMemberDesc(K76)</f>
        <v>Prepaid CSA - Polk Unit #5</v>
      </c>
      <c r="M76" s="293">
        <v>0</v>
      </c>
      <c r="N76" s="293">
        <v>0</v>
      </c>
      <c r="O76" s="293">
        <v>0</v>
      </c>
      <c r="P76" s="293">
        <v>81612.104000000007</v>
      </c>
      <c r="Q76" s="293">
        <v>75883.135999999999</v>
      </c>
      <c r="R76" s="293">
        <v>73308.649999999994</v>
      </c>
      <c r="S76" s="293">
        <v>236349.71</v>
      </c>
      <c r="T76" s="293">
        <v>79242.224000000002</v>
      </c>
      <c r="U76" s="293">
        <v>76872.343999999997</v>
      </c>
      <c r="V76" s="293">
        <v>390678.10399999999</v>
      </c>
      <c r="W76" s="293">
        <v>233570.61799999999</v>
      </c>
      <c r="X76" s="293">
        <v>231200.73800000001</v>
      </c>
      <c r="Y76" s="293">
        <v>695975.804</v>
      </c>
      <c r="Z76" s="293">
        <v>539072.924</v>
      </c>
      <c r="AA76" s="293">
        <v>537726.07400000002</v>
      </c>
      <c r="AB76" s="293">
        <v>537726.07400000002</v>
      </c>
    </row>
    <row r="77" spans="10:28" ht="15" customHeight="1" x14ac:dyDescent="0.25">
      <c r="J77" s="291" t="str">
        <f xml:space="preserve"> _xll.EPMOlapMemberO("[COSTCENTER].[PARENTH1].[1001]","","1001","","000")</f>
        <v>1001</v>
      </c>
      <c r="K77" s="295" t="str">
        <f xml:space="preserve"> _xll.EPMOlapMemberO("[C_ACCOUNT].[PARENTH1].[A_1650599]","","A_1650599","","000")</f>
        <v>A_1650599</v>
      </c>
      <c r="L77" s="293" t="str">
        <f>_xll.EPMMemberDesc(K77)</f>
        <v>Prepaid Insurance - Other</v>
      </c>
      <c r="M77" s="293">
        <v>0</v>
      </c>
      <c r="N77" s="293">
        <v>0</v>
      </c>
      <c r="O77" s="293">
        <v>0</v>
      </c>
      <c r="P77" s="293">
        <v>7860927.9400000004</v>
      </c>
      <c r="Q77" s="293">
        <v>5854336.8499999996</v>
      </c>
      <c r="R77" s="293">
        <v>17628497.629999999</v>
      </c>
      <c r="S77" s="293">
        <v>15263216.369999999</v>
      </c>
      <c r="T77" s="293">
        <v>12918789.029999999</v>
      </c>
      <c r="U77" s="293">
        <v>23363294.760000002</v>
      </c>
      <c r="V77" s="293">
        <v>20773330.59</v>
      </c>
      <c r="W77" s="293">
        <v>18429307.859999999</v>
      </c>
      <c r="X77" s="293">
        <v>16954922.050000001</v>
      </c>
      <c r="Y77" s="293">
        <v>14358410.970000001</v>
      </c>
      <c r="Z77" s="293">
        <v>11761899.890000001</v>
      </c>
      <c r="AA77" s="293">
        <v>9150084.2100000009</v>
      </c>
      <c r="AB77" s="293">
        <v>9150084.2100000009</v>
      </c>
    </row>
    <row r="78" spans="10:28" ht="15" customHeight="1" x14ac:dyDescent="0.25">
      <c r="J78" s="291" t="str">
        <f xml:space="preserve"> _xll.EPMOlapMemberO("[COSTCENTER].[PARENTH1].[1001]","","1001","","000")</f>
        <v>1001</v>
      </c>
      <c r="K78" s="295" t="str">
        <f xml:space="preserve"> _xll.EPMOlapMemberO("[C_ACCOUNT].[PARENTH1].[A_1650800]","","A_1650800","","000")</f>
        <v>A_1650800</v>
      </c>
      <c r="L78" s="293" t="str">
        <f>_xll.EPMMemberDesc(K78)</f>
        <v>Prepaid Miscellaneous</v>
      </c>
      <c r="M78" s="293">
        <v>0</v>
      </c>
      <c r="N78" s="293">
        <v>0</v>
      </c>
      <c r="O78" s="293">
        <v>0</v>
      </c>
      <c r="P78" s="293">
        <v>324617.2</v>
      </c>
      <c r="Q78" s="293">
        <v>688382.04333330004</v>
      </c>
      <c r="R78" s="293">
        <v>558468.30666670005</v>
      </c>
      <c r="S78" s="293">
        <v>874248.57</v>
      </c>
      <c r="T78" s="293">
        <v>744334.83333329996</v>
      </c>
      <c r="U78" s="293">
        <v>614421.09666669997</v>
      </c>
      <c r="V78" s="293">
        <v>484507.36</v>
      </c>
      <c r="W78" s="293">
        <v>954886.16113589995</v>
      </c>
      <c r="X78" s="293">
        <v>824086.59739620006</v>
      </c>
      <c r="Y78" s="293">
        <v>693287.03365660005</v>
      </c>
      <c r="Z78" s="293">
        <v>562487.46991700004</v>
      </c>
      <c r="AA78" s="293">
        <v>431687.90617739997</v>
      </c>
      <c r="AB78" s="293">
        <v>431687.90617739997</v>
      </c>
    </row>
    <row r="79" spans="10:28" ht="15" customHeight="1" x14ac:dyDescent="0.2">
      <c r="J79" s="286" t="str">
        <f xml:space="preserve"> _xll.EPMOlapMemberO("[COSTCENTER].[PARENTH1].[1001]","","1001","","000")</f>
        <v>1001</v>
      </c>
      <c r="K79" s="290" t="str">
        <f xml:space="preserve"> _xll.EPMOlapMemberO("[C_ACCOUNT].[PARENTH1].[DEF_CL_EXP]","","DEF_CL_EXP","","000")</f>
        <v>DEF_CL_EXP</v>
      </c>
      <c r="L79" s="286" t="str">
        <f>_xll.EPMMemberDesc(K79)</f>
        <v>Deferred clause expense - current</v>
      </c>
      <c r="M79" s="287">
        <v>0</v>
      </c>
      <c r="N79" s="287">
        <v>0</v>
      </c>
      <c r="O79" s="287">
        <v>0</v>
      </c>
      <c r="P79" s="287">
        <v>26179797.893038601</v>
      </c>
      <c r="Q79" s="287">
        <v>27226114.953284699</v>
      </c>
      <c r="R79" s="287">
        <v>29644292.134332102</v>
      </c>
      <c r="S79" s="287">
        <v>27964051.265258402</v>
      </c>
      <c r="T79" s="287">
        <v>28293744.5768978</v>
      </c>
      <c r="U79" s="287">
        <v>23200130.0351476</v>
      </c>
      <c r="V79" s="287">
        <v>16864245.067832202</v>
      </c>
      <c r="W79" s="287">
        <v>11891221.4642995</v>
      </c>
      <c r="X79" s="287">
        <v>3081642.5122826998</v>
      </c>
      <c r="Y79" s="287">
        <v>1981833.7564268999</v>
      </c>
      <c r="Z79" s="287">
        <v>1861735.4982127999</v>
      </c>
      <c r="AA79" s="287">
        <v>1959046.3360096</v>
      </c>
      <c r="AB79" s="287">
        <v>1959046.3360096</v>
      </c>
    </row>
    <row r="80" spans="10:28" ht="15" customHeight="1" x14ac:dyDescent="0.25">
      <c r="J80" s="291" t="str">
        <f xml:space="preserve"> _xll.EPMOlapMemberO("[COSTCENTER].[PARENTH1].[1001]","","1001","","000")</f>
        <v>1001</v>
      </c>
      <c r="K80" s="292" t="str">
        <f xml:space="preserve"> _xll.EPMOlapMemberO("[C_ACCOUNT].[PARENTH1].[A_1823020]","","A_1823020","","000")</f>
        <v>A_1823020</v>
      </c>
      <c r="L80" s="293" t="str">
        <f>_xll.EPMMemberDesc(K80)</f>
        <v>Oth Reg Asset-Fuel Clause</v>
      </c>
      <c r="M80" s="293">
        <v>0</v>
      </c>
      <c r="N80" s="293">
        <v>0</v>
      </c>
      <c r="O80" s="293">
        <v>0</v>
      </c>
      <c r="P80" s="293">
        <v>15484522.986080101</v>
      </c>
      <c r="Q80" s="293">
        <v>15124970.8233667</v>
      </c>
      <c r="R80" s="293">
        <v>17370299.155345399</v>
      </c>
      <c r="S80" s="293">
        <v>15565366.111117801</v>
      </c>
      <c r="T80" s="293">
        <v>16480742.788254101</v>
      </c>
      <c r="U80" s="293">
        <v>13280277.0902164</v>
      </c>
      <c r="V80" s="293">
        <v>9164804.1244198997</v>
      </c>
      <c r="W80" s="293">
        <v>6377139.9209192004</v>
      </c>
      <c r="X80" s="293">
        <v>0</v>
      </c>
      <c r="Y80" s="293">
        <v>0</v>
      </c>
      <c r="Z80" s="293">
        <v>0</v>
      </c>
      <c r="AA80" s="293">
        <v>0</v>
      </c>
      <c r="AB80" s="293">
        <v>0</v>
      </c>
    </row>
    <row r="81" spans="10:28" ht="15" customHeight="1" x14ac:dyDescent="0.25">
      <c r="J81" s="291" t="str">
        <f xml:space="preserve"> _xll.EPMOlapMemberO("[COSTCENTER].[PARENTH1].[1001]","","1001","","000")</f>
        <v>1001</v>
      </c>
      <c r="K81" s="292" t="str">
        <f xml:space="preserve"> _xll.EPMOlapMemberO("[C_ACCOUNT].[PARENTH1].[A_1823030]","","A_1823030","","000")</f>
        <v>A_1823030</v>
      </c>
      <c r="L81" s="293" t="str">
        <f>_xll.EPMMemberDesc(K81)</f>
        <v>Oth Reg Asset-Capacity Clause</v>
      </c>
      <c r="M81" s="293">
        <v>0</v>
      </c>
      <c r="N81" s="293">
        <v>0</v>
      </c>
      <c r="O81" s="293">
        <v>0</v>
      </c>
      <c r="P81" s="293">
        <v>1278041.9069584999</v>
      </c>
      <c r="Q81" s="293">
        <v>2655343.1299180002</v>
      </c>
      <c r="R81" s="293">
        <v>2559851.9789867001</v>
      </c>
      <c r="S81" s="293">
        <v>2463225.1541406</v>
      </c>
      <c r="T81" s="293">
        <v>2363622.7886437001</v>
      </c>
      <c r="U81" s="293">
        <v>2259235.9449311998</v>
      </c>
      <c r="V81" s="293">
        <v>2153450.9434123002</v>
      </c>
      <c r="W81" s="293">
        <v>2047796.5433803</v>
      </c>
      <c r="X81" s="293">
        <v>1940623.5122827</v>
      </c>
      <c r="Y81" s="293">
        <v>1836589.7564268999</v>
      </c>
      <c r="Z81" s="293">
        <v>1737874.4982127999</v>
      </c>
      <c r="AA81" s="293">
        <v>1640562.3360096</v>
      </c>
      <c r="AB81" s="293">
        <v>1640562.3360096</v>
      </c>
    </row>
    <row r="82" spans="10:28" ht="15" customHeight="1" x14ac:dyDescent="0.25">
      <c r="J82" s="291" t="str">
        <f xml:space="preserve"> _xll.EPMOlapMemberO("[COSTCENTER].[PARENTH1].[1001]","","1001","","000")</f>
        <v>1001</v>
      </c>
      <c r="K82" s="292" t="str">
        <f xml:space="preserve"> _xll.EPMOlapMemberO("[C_ACCOUNT].[PARENTH1].[A_1823050]","","A_1823050","","000")</f>
        <v>A_1823050</v>
      </c>
      <c r="L82" s="293" t="str">
        <f>_xll.EPMMemberDesc(K82)</f>
        <v>Oth Reg Asset-Environmental Clause</v>
      </c>
      <c r="M82" s="293">
        <v>0</v>
      </c>
      <c r="N82" s="293">
        <v>0</v>
      </c>
      <c r="O82" s="293">
        <v>0</v>
      </c>
      <c r="P82" s="293">
        <v>3828084</v>
      </c>
      <c r="Q82" s="293">
        <v>4202948</v>
      </c>
      <c r="R82" s="293">
        <v>4670767</v>
      </c>
      <c r="S82" s="293">
        <v>4892301</v>
      </c>
      <c r="T82" s="293">
        <v>4725286</v>
      </c>
      <c r="U82" s="293">
        <v>3832638</v>
      </c>
      <c r="V82" s="293">
        <v>2723430</v>
      </c>
      <c r="W82" s="293">
        <v>1652297</v>
      </c>
      <c r="X82" s="293">
        <v>354329</v>
      </c>
      <c r="Y82" s="293">
        <v>0</v>
      </c>
      <c r="Z82" s="293">
        <v>0</v>
      </c>
      <c r="AA82" s="293">
        <v>0</v>
      </c>
      <c r="AB82" s="293">
        <v>0</v>
      </c>
    </row>
    <row r="83" spans="10:28" ht="15" customHeight="1" x14ac:dyDescent="0.25">
      <c r="J83" s="291" t="str">
        <f xml:space="preserve"> _xll.EPMOlapMemberO("[COSTCENTER].[PARENTH1].[1001]","","1001","","000")</f>
        <v>1001</v>
      </c>
      <c r="K83" s="292" t="str">
        <f xml:space="preserve"> _xll.EPMOlapMemberO("[C_ACCOUNT].[PARENTH1].[A_1823090]","","A_1823090","","000")</f>
        <v>A_1823090</v>
      </c>
      <c r="L83" s="293" t="str">
        <f>_xll.EPMMemberDesc(K83)</f>
        <v>Oth Reg Asset-Storm Protection Clause</v>
      </c>
      <c r="M83" s="293">
        <v>0</v>
      </c>
      <c r="N83" s="293">
        <v>0</v>
      </c>
      <c r="O83" s="293">
        <v>0</v>
      </c>
      <c r="P83" s="293">
        <v>5589149</v>
      </c>
      <c r="Q83" s="293">
        <v>5242853</v>
      </c>
      <c r="R83" s="293">
        <v>5043374</v>
      </c>
      <c r="S83" s="293">
        <v>5043159</v>
      </c>
      <c r="T83" s="293">
        <v>4724093</v>
      </c>
      <c r="U83" s="293">
        <v>3827979</v>
      </c>
      <c r="V83" s="293">
        <v>2822560</v>
      </c>
      <c r="W83" s="293">
        <v>1813988</v>
      </c>
      <c r="X83" s="293">
        <v>786690</v>
      </c>
      <c r="Y83" s="293">
        <v>145244</v>
      </c>
      <c r="Z83" s="293">
        <v>123861</v>
      </c>
      <c r="AA83" s="293">
        <v>318484</v>
      </c>
      <c r="AB83" s="293">
        <v>318484</v>
      </c>
    </row>
    <row r="84" spans="10:28" ht="15" customHeight="1" x14ac:dyDescent="0.2">
      <c r="J84" s="286" t="str">
        <f xml:space="preserve"> _xll.EPMOlapMemberO("[COSTCENTER].[PARENTH1].[1001]","","1001","","000")</f>
        <v>1001</v>
      </c>
      <c r="K84" s="290" t="str">
        <f xml:space="preserve"> _xll.EPMOlapMemberO("[C_ACCOUNT].[PARENTH1].[OTH_REG_AST_C]","","OTH_REG_AST_C","","000")</f>
        <v>OTH_REG_AST_C</v>
      </c>
      <c r="L84" s="286" t="str">
        <f>_xll.EPMMemberDesc(K84)</f>
        <v>Other regulatory assets - current</v>
      </c>
      <c r="M84" s="287">
        <v>0</v>
      </c>
      <c r="N84" s="287">
        <v>0</v>
      </c>
      <c r="O84" s="287">
        <v>0</v>
      </c>
      <c r="P84" s="287">
        <v>12500355.199999999</v>
      </c>
      <c r="Q84" s="287">
        <v>12398218.539999999</v>
      </c>
      <c r="R84" s="287">
        <v>12296081.880000001</v>
      </c>
      <c r="S84" s="287">
        <v>12193945.220000001</v>
      </c>
      <c r="T84" s="287">
        <v>12072187.300000001</v>
      </c>
      <c r="U84" s="287">
        <v>11950429.380000001</v>
      </c>
      <c r="V84" s="287">
        <v>11828671.460000001</v>
      </c>
      <c r="W84" s="287">
        <v>11710648.199999999</v>
      </c>
      <c r="X84" s="287">
        <v>11592624.939999999</v>
      </c>
      <c r="Y84" s="287">
        <v>11474601.68</v>
      </c>
      <c r="Z84" s="287">
        <v>11338924.09</v>
      </c>
      <c r="AA84" s="287">
        <v>11203250.5</v>
      </c>
      <c r="AB84" s="287">
        <v>11203250.5</v>
      </c>
    </row>
    <row r="85" spans="10:28" ht="15" customHeight="1" x14ac:dyDescent="0.25">
      <c r="J85" s="291" t="str">
        <f xml:space="preserve"> _xll.EPMOlapMemberO("[COSTCENTER].[PARENTH1].[1001]","","1001","","000")</f>
        <v>1001</v>
      </c>
      <c r="K85" s="292" t="str">
        <f xml:space="preserve"> _xll.EPMOlapMemberO("[C_ACCOUNT].[PARENTH1].[A_1823100]","","A_1823100","","000")</f>
        <v>A_1823100</v>
      </c>
      <c r="L85" s="293" t="str">
        <f>_xll.EPMMemberDesc(K85)</f>
        <v>Oth Reg Asset-FAS 158 Benefit Current</v>
      </c>
      <c r="M85" s="293">
        <v>0</v>
      </c>
      <c r="N85" s="293">
        <v>0</v>
      </c>
      <c r="O85" s="293">
        <v>0</v>
      </c>
      <c r="P85" s="293">
        <v>10106659</v>
      </c>
      <c r="Q85" s="293">
        <v>10106659</v>
      </c>
      <c r="R85" s="293">
        <v>10106659</v>
      </c>
      <c r="S85" s="293">
        <v>10106659</v>
      </c>
      <c r="T85" s="293">
        <v>10106659</v>
      </c>
      <c r="U85" s="293">
        <v>10106659</v>
      </c>
      <c r="V85" s="293">
        <v>10106659</v>
      </c>
      <c r="W85" s="293">
        <v>10106659</v>
      </c>
      <c r="X85" s="293">
        <v>10106659</v>
      </c>
      <c r="Y85" s="293">
        <v>10106659</v>
      </c>
      <c r="Z85" s="293">
        <v>10106659</v>
      </c>
      <c r="AA85" s="293">
        <v>10106659</v>
      </c>
      <c r="AB85" s="293">
        <v>10106659</v>
      </c>
    </row>
    <row r="86" spans="10:28" ht="15" customHeight="1" x14ac:dyDescent="0.25">
      <c r="J86" s="291" t="str">
        <f xml:space="preserve"> _xll.EPMOlapMemberO("[COSTCENTER].[PARENTH1].[1001]","","1001","","000")</f>
        <v>1001</v>
      </c>
      <c r="K86" s="292" t="str">
        <f xml:space="preserve"> _xll.EPMOlapMemberO("[C_ACCOUNT].[PARENTH1].[A_1823104]","","A_1823104","","000")</f>
        <v>A_1823104</v>
      </c>
      <c r="L86" s="293" t="str">
        <f>_xll.EPMMemberDesc(K86)</f>
        <v>Oth Reg Asset-ARO Asset Current</v>
      </c>
      <c r="M86" s="293">
        <v>0</v>
      </c>
      <c r="N86" s="293">
        <v>0</v>
      </c>
      <c r="O86" s="293">
        <v>0</v>
      </c>
      <c r="P86" s="293">
        <v>500000</v>
      </c>
      <c r="Q86" s="293">
        <v>500000</v>
      </c>
      <c r="R86" s="293">
        <v>500000</v>
      </c>
      <c r="S86" s="293">
        <v>500000</v>
      </c>
      <c r="T86" s="293">
        <v>500000</v>
      </c>
      <c r="U86" s="293">
        <v>500000</v>
      </c>
      <c r="V86" s="293">
        <v>500000</v>
      </c>
      <c r="W86" s="293">
        <v>500000</v>
      </c>
      <c r="X86" s="293">
        <v>500000</v>
      </c>
      <c r="Y86" s="293">
        <v>500000</v>
      </c>
      <c r="Z86" s="293">
        <v>500000</v>
      </c>
      <c r="AA86" s="293">
        <v>500000</v>
      </c>
      <c r="AB86" s="293">
        <v>500000</v>
      </c>
    </row>
    <row r="87" spans="10:28" ht="15" customHeight="1" x14ac:dyDescent="0.25">
      <c r="J87" s="291" t="str">
        <f xml:space="preserve"> _xll.EPMOlapMemberO("[COSTCENTER].[PARENTH1].[1001]","","1001","","000")</f>
        <v>1001</v>
      </c>
      <c r="K87" s="292" t="str">
        <f xml:space="preserve"> _xll.EPMOlapMemberO("[C_ACCOUNT].[PARENTH1].[A_1890100]","","A_1890100","","000")</f>
        <v>A_1890100</v>
      </c>
      <c r="L87" s="293" t="str">
        <f>_xll.EPMMemberDesc(K87)</f>
        <v>Unamortized Loss on Reacquired Debt - Short-term</v>
      </c>
      <c r="M87" s="293">
        <v>0</v>
      </c>
      <c r="N87" s="293">
        <v>0</v>
      </c>
      <c r="O87" s="293">
        <v>0</v>
      </c>
      <c r="P87" s="293">
        <v>811278.2</v>
      </c>
      <c r="Q87" s="293">
        <v>807543.54</v>
      </c>
      <c r="R87" s="293">
        <v>803808.88</v>
      </c>
      <c r="S87" s="293">
        <v>800074.22</v>
      </c>
      <c r="T87" s="293">
        <v>776718.3</v>
      </c>
      <c r="U87" s="293">
        <v>753362.38</v>
      </c>
      <c r="V87" s="293">
        <v>730006.46</v>
      </c>
      <c r="W87" s="293">
        <v>710385.2</v>
      </c>
      <c r="X87" s="293">
        <v>690763.94</v>
      </c>
      <c r="Y87" s="293">
        <v>671142.68</v>
      </c>
      <c r="Z87" s="293">
        <v>633867.09</v>
      </c>
      <c r="AA87" s="293">
        <v>596591.5</v>
      </c>
      <c r="AB87" s="293">
        <v>596591.5</v>
      </c>
    </row>
    <row r="88" spans="10:28" ht="15" customHeight="1" x14ac:dyDescent="0.25">
      <c r="J88" s="291" t="str">
        <f xml:space="preserve"> _xll.EPMOlapMemberO("[COSTCENTER].[PARENTH1].[1001]","","1001","","000")</f>
        <v>1001</v>
      </c>
      <c r="K88" s="292" t="str">
        <f xml:space="preserve"> _xll.EPMOlapMemberO("[C_ACCOUNT].[PARENTH1].[A_1823106]","","A_1823106","","000")</f>
        <v>A_1823106</v>
      </c>
      <c r="L88" s="293" t="str">
        <f>_xll.EPMMemberDesc(K88)</f>
        <v>Oth Reg Asset-Asset Optimization Gain Current</v>
      </c>
      <c r="M88" s="293">
        <v>0</v>
      </c>
      <c r="N88" s="293">
        <v>0</v>
      </c>
      <c r="O88" s="293">
        <v>0</v>
      </c>
      <c r="P88" s="293">
        <v>1082418</v>
      </c>
      <c r="Q88" s="293">
        <v>984016</v>
      </c>
      <c r="R88" s="293">
        <v>885614</v>
      </c>
      <c r="S88" s="293">
        <v>787212</v>
      </c>
      <c r="T88" s="293">
        <v>688810</v>
      </c>
      <c r="U88" s="293">
        <v>590408</v>
      </c>
      <c r="V88" s="293">
        <v>492006</v>
      </c>
      <c r="W88" s="293">
        <v>393604</v>
      </c>
      <c r="X88" s="293">
        <v>295202</v>
      </c>
      <c r="Y88" s="293">
        <v>196800</v>
      </c>
      <c r="Z88" s="293">
        <v>98398</v>
      </c>
      <c r="AA88" s="293">
        <v>0</v>
      </c>
      <c r="AB88" s="293">
        <v>0</v>
      </c>
    </row>
    <row r="89" spans="10:28" ht="15" customHeight="1" x14ac:dyDescent="0.2">
      <c r="J89" s="286" t="str">
        <f xml:space="preserve"> _xll.EPMOlapMemberO("[COSTCENTER].[PARENTH1].[1001]","","1001","","000")</f>
        <v>1001</v>
      </c>
      <c r="K89" s="289" t="str">
        <f xml:space="preserve"> _xll.EPMOlapMemberO("[C_ACCOUNT].[PARENTH1].[PROP_PLNT_EQUIP_PAR]","","PROP_PLNT_EQUIP_PAR","","000")</f>
        <v>PROP_PLNT_EQUIP_PAR</v>
      </c>
      <c r="L89" s="286" t="str">
        <f>_xll.EPMMemberDesc(K89)</f>
        <v>PROPERTY. PLANT AND EQUIPMENT</v>
      </c>
      <c r="M89" s="287">
        <v>0</v>
      </c>
      <c r="N89" s="287">
        <v>0</v>
      </c>
      <c r="O89" s="287">
        <v>0</v>
      </c>
      <c r="P89" s="287">
        <v>8466308459.0123634</v>
      </c>
      <c r="Q89" s="287">
        <v>8510311099.993475</v>
      </c>
      <c r="R89" s="287">
        <v>8572582438.1536732</v>
      </c>
      <c r="S89" s="287">
        <v>8624470254.8148823</v>
      </c>
      <c r="T89" s="287">
        <v>8682804780.3792248</v>
      </c>
      <c r="U89" s="287">
        <v>8807354682.3701191</v>
      </c>
      <c r="V89" s="287">
        <v>8855374641.3395634</v>
      </c>
      <c r="W89" s="287">
        <v>8906186766.3987789</v>
      </c>
      <c r="X89" s="287">
        <v>8962493684.5459213</v>
      </c>
      <c r="Y89" s="287">
        <v>9012929987.544117</v>
      </c>
      <c r="Z89" s="287">
        <v>9076978710.2814083</v>
      </c>
      <c r="AA89" s="287">
        <v>9130592352.484005</v>
      </c>
      <c r="AB89" s="287">
        <v>9130592352.484005</v>
      </c>
    </row>
    <row r="90" spans="10:28" ht="15" customHeight="1" x14ac:dyDescent="0.2">
      <c r="J90" s="286" t="str">
        <f xml:space="preserve"> _xll.EPMOlapMemberO("[COSTCENTER].[PARENTH1].[1001]","","1001","","000")</f>
        <v>1001</v>
      </c>
      <c r="K90" s="290" t="str">
        <f xml:space="preserve"> _xll.EPMOlapMemberO("[C_ACCOUNT].[PARENTH1].[PROP_PLNT_EQUIP_CHLD]","","PROP_PLNT_EQUIP_CHLD","","000")</f>
        <v>PROP_PLNT_EQUIP_CHLD</v>
      </c>
      <c r="L90" s="286" t="str">
        <f>_xll.EPMMemberDesc(K90)</f>
        <v>Property. Plant and Equipment</v>
      </c>
      <c r="M90" s="287">
        <v>0</v>
      </c>
      <c r="N90" s="287">
        <v>0</v>
      </c>
      <c r="O90" s="287">
        <v>0</v>
      </c>
      <c r="P90" s="287">
        <v>11547893464.33036</v>
      </c>
      <c r="Q90" s="287">
        <v>11613477632.235889</v>
      </c>
      <c r="R90" s="287">
        <v>11692143532.64538</v>
      </c>
      <c r="S90" s="287">
        <v>11762312668.3062</v>
      </c>
      <c r="T90" s="287">
        <v>11841170894.952999</v>
      </c>
      <c r="U90" s="287">
        <v>11976920775.451599</v>
      </c>
      <c r="V90" s="287">
        <v>12047341021.2764</v>
      </c>
      <c r="W90" s="287">
        <v>12118381225.9093</v>
      </c>
      <c r="X90" s="287">
        <v>12195360415.746099</v>
      </c>
      <c r="Y90" s="287">
        <v>12265136712.5765</v>
      </c>
      <c r="Z90" s="287">
        <v>12279863207.1304</v>
      </c>
      <c r="AA90" s="287">
        <v>11798608603.556639</v>
      </c>
      <c r="AB90" s="287">
        <v>11798608603.556639</v>
      </c>
    </row>
    <row r="91" spans="10:28" ht="15" customHeight="1" x14ac:dyDescent="0.2">
      <c r="J91" s="286" t="str">
        <f xml:space="preserve"> _xll.EPMOlapMemberO("[COSTCENTER].[PARENTH1].[1001]","","1001","","000")</f>
        <v>1001</v>
      </c>
      <c r="K91" s="294" t="str">
        <f xml:space="preserve"> _xll.EPMOlapMemberO("[C_ACCOUNT].[PARENTH1].[UTL_PLANT_INSERV]","","UTL_PLANT_INSERV","","000")</f>
        <v>UTL_PLANT_INSERV</v>
      </c>
      <c r="L91" s="286" t="str">
        <f>_xll.EPMMemberDesc(K91)</f>
        <v>Utility Plant in Service</v>
      </c>
      <c r="M91" s="287">
        <v>0</v>
      </c>
      <c r="N91" s="287">
        <v>0</v>
      </c>
      <c r="O91" s="287">
        <v>0</v>
      </c>
      <c r="P91" s="287">
        <v>10358263513.010361</v>
      </c>
      <c r="Q91" s="287">
        <v>10377144514.235889</v>
      </c>
      <c r="R91" s="287">
        <v>10415619955.12538</v>
      </c>
      <c r="S91" s="287">
        <v>10447095728.946199</v>
      </c>
      <c r="T91" s="287">
        <v>10466624824.122999</v>
      </c>
      <c r="U91" s="287">
        <v>10525781733.461599</v>
      </c>
      <c r="V91" s="287">
        <v>10546166399.2864</v>
      </c>
      <c r="W91" s="287">
        <v>10578357952.629299</v>
      </c>
      <c r="X91" s="287">
        <v>10604568206.276098</v>
      </c>
      <c r="Y91" s="287">
        <v>10653484672.426498</v>
      </c>
      <c r="Z91" s="287">
        <v>11159662056.280399</v>
      </c>
      <c r="AA91" s="287">
        <v>10943090772.01664</v>
      </c>
      <c r="AB91" s="287">
        <v>10943090772.01664</v>
      </c>
    </row>
    <row r="92" spans="10:28" ht="15" customHeight="1" x14ac:dyDescent="0.25">
      <c r="J92" s="291" t="str">
        <f xml:space="preserve"> _xll.EPMOlapMemberO("[COSTCENTER].[PARENTH1].[1001]","","1001","","000")</f>
        <v>1001</v>
      </c>
      <c r="K92" s="295" t="str">
        <f xml:space="preserve"> _xll.EPMOlapMemberO("[C_ACCOUNT].[PARENTH1].[A_1010000]","","A_1010000","","000")</f>
        <v>A_1010000</v>
      </c>
      <c r="L92" s="293" t="str">
        <f>_xll.EPMMemberDesc(K92)</f>
        <v>Utility Plant in Service</v>
      </c>
      <c r="M92" s="293">
        <v>0</v>
      </c>
      <c r="N92" s="293">
        <v>0</v>
      </c>
      <c r="O92" s="293">
        <v>0</v>
      </c>
      <c r="P92" s="293">
        <v>9913107693.73036</v>
      </c>
      <c r="Q92" s="293">
        <v>9911069168.0058899</v>
      </c>
      <c r="R92" s="293">
        <v>9931130772.1953793</v>
      </c>
      <c r="S92" s="293">
        <v>10013913650.6362</v>
      </c>
      <c r="T92" s="293">
        <v>10049176660.443001</v>
      </c>
      <c r="U92" s="293">
        <v>10101169543.691601</v>
      </c>
      <c r="V92" s="293">
        <v>10259731065.8964</v>
      </c>
      <c r="W92" s="293">
        <v>10260809061.959299</v>
      </c>
      <c r="X92" s="293">
        <v>10280571590.146099</v>
      </c>
      <c r="Y92" s="293">
        <v>10347470522.7465</v>
      </c>
      <c r="Z92" s="293">
        <v>10276355035.3904</v>
      </c>
      <c r="AA92" s="293">
        <v>9765650295.4766407</v>
      </c>
      <c r="AB92" s="293">
        <v>9765650295.4766407</v>
      </c>
    </row>
    <row r="93" spans="10:28" ht="15" customHeight="1" x14ac:dyDescent="0.25">
      <c r="J93" s="291" t="str">
        <f xml:space="preserve"> _xll.EPMOlapMemberO("[COSTCENTER].[PARENTH1].[1001]","","1001","","000")</f>
        <v>1001</v>
      </c>
      <c r="K93" s="295" t="str">
        <f xml:space="preserve"> _xll.EPMOlapMemberO("[C_ACCOUNT].[PARENTH1].[A_1060000]","","A_1060000","","000")</f>
        <v>A_1060000</v>
      </c>
      <c r="L93" s="293" t="str">
        <f>_xll.EPMMemberDesc(K93)</f>
        <v>Completed Construction not Classified</v>
      </c>
      <c r="M93" s="293">
        <v>0</v>
      </c>
      <c r="N93" s="293">
        <v>0</v>
      </c>
      <c r="O93" s="293">
        <v>0</v>
      </c>
      <c r="P93" s="293">
        <v>437670996.51999998</v>
      </c>
      <c r="Q93" s="293">
        <v>458590523.47000003</v>
      </c>
      <c r="R93" s="293">
        <v>477004360.17000002</v>
      </c>
      <c r="S93" s="293">
        <v>425697255.55000001</v>
      </c>
      <c r="T93" s="293">
        <v>409963340.92000002</v>
      </c>
      <c r="U93" s="293">
        <v>417127367.00999999</v>
      </c>
      <c r="V93" s="293">
        <v>278950510.63</v>
      </c>
      <c r="W93" s="293">
        <v>310064067.91000003</v>
      </c>
      <c r="X93" s="293">
        <v>316511793.37</v>
      </c>
      <c r="Y93" s="293">
        <v>298529326.92000002</v>
      </c>
      <c r="Z93" s="293">
        <v>875822198.13</v>
      </c>
      <c r="AA93" s="293">
        <v>1169955653.78</v>
      </c>
      <c r="AB93" s="293">
        <v>1169955653.78</v>
      </c>
    </row>
    <row r="94" spans="10:28" ht="15" customHeight="1" x14ac:dyDescent="0.25">
      <c r="J94" s="291" t="str">
        <f xml:space="preserve"> _xll.EPMOlapMemberO("[COSTCENTER].[PARENTH1].[1001]","","1001","","000")</f>
        <v>1001</v>
      </c>
      <c r="K94" s="295" t="str">
        <f xml:space="preserve"> _xll.EPMOlapMemberO("[C_ACCOUNT].[PARENTH1].[A_1140000]","","A_1140000","","000")</f>
        <v>A_1140000</v>
      </c>
      <c r="L94" s="293" t="str">
        <f>_xll.EPMMemberDesc(K94)</f>
        <v>Plant Acquisition Adjustments</v>
      </c>
      <c r="M94" s="293">
        <v>0</v>
      </c>
      <c r="N94" s="293">
        <v>0</v>
      </c>
      <c r="O94" s="293">
        <v>0</v>
      </c>
      <c r="P94" s="293">
        <v>7484822.7599999998</v>
      </c>
      <c r="Q94" s="293">
        <v>7484822.7599999998</v>
      </c>
      <c r="R94" s="293">
        <v>7484822.7599999998</v>
      </c>
      <c r="S94" s="293">
        <v>7484822.7599999998</v>
      </c>
      <c r="T94" s="293">
        <v>7484822.7599999998</v>
      </c>
      <c r="U94" s="293">
        <v>7484822.7599999998</v>
      </c>
      <c r="V94" s="293">
        <v>7484822.7599999998</v>
      </c>
      <c r="W94" s="293">
        <v>7484822.7599999998</v>
      </c>
      <c r="X94" s="293">
        <v>7484822.7599999998</v>
      </c>
      <c r="Y94" s="293">
        <v>7484822.7599999998</v>
      </c>
      <c r="Z94" s="293">
        <v>7484822.7599999998</v>
      </c>
      <c r="AA94" s="293">
        <v>7484822.7599999998</v>
      </c>
      <c r="AB94" s="293">
        <v>7484822.7599999998</v>
      </c>
    </row>
    <row r="95" spans="10:28" ht="15" customHeight="1" x14ac:dyDescent="0.2">
      <c r="J95" s="286" t="str">
        <f xml:space="preserve"> _xll.EPMOlapMemberO("[COSTCENTER].[PARENTH1].[1001]","","1001","","000")</f>
        <v>1001</v>
      </c>
      <c r="K95" s="294" t="str">
        <f xml:space="preserve"> _xll.EPMOlapMemberO("[C_ACCOUNT].[PARENTH1].[CONSTRUCTION_WIP]","","CONSTRUCTION_WIP","","000")</f>
        <v>CONSTRUCTION_WIP</v>
      </c>
      <c r="L95" s="286" t="str">
        <f>_xll.EPMMemberDesc(K95)</f>
        <v>Construction work in progress</v>
      </c>
      <c r="M95" s="287">
        <v>0</v>
      </c>
      <c r="N95" s="287">
        <v>0</v>
      </c>
      <c r="O95" s="287">
        <v>0</v>
      </c>
      <c r="P95" s="287">
        <v>1175627800.01</v>
      </c>
      <c r="Q95" s="287">
        <v>1222222343.53</v>
      </c>
      <c r="R95" s="287">
        <v>1262304179.8900001</v>
      </c>
      <c r="S95" s="287">
        <v>1300888918.5699999</v>
      </c>
      <c r="T95" s="287">
        <v>1360109426.8800001</v>
      </c>
      <c r="U95" s="287">
        <v>1436593774.8800001</v>
      </c>
      <c r="V95" s="287">
        <v>1486520731.72</v>
      </c>
      <c r="W95" s="287">
        <v>1525260759.8499999</v>
      </c>
      <c r="X95" s="287">
        <v>1575921072.8800001</v>
      </c>
      <c r="Y95" s="287">
        <v>1596672280.4000001</v>
      </c>
      <c r="Z95" s="287">
        <v>1105112767.9400001</v>
      </c>
      <c r="AA95" s="287">
        <v>840320825.419999</v>
      </c>
      <c r="AB95" s="287">
        <v>840320825.419999</v>
      </c>
    </row>
    <row r="96" spans="10:28" ht="15" customHeight="1" x14ac:dyDescent="0.25">
      <c r="J96" s="291" t="str">
        <f xml:space="preserve"> _xll.EPMOlapMemberO("[COSTCENTER].[PARENTH1].[1001]","","1001","","000")</f>
        <v>1001</v>
      </c>
      <c r="K96" s="295" t="str">
        <f xml:space="preserve"> _xll.EPMOlapMemberO("[C_ACCOUNT].[PARENTH1].[A_1050000]","","A_1050000","","000")</f>
        <v>A_1050000</v>
      </c>
      <c r="L96" s="293" t="str">
        <f>_xll.EPMMemberDesc(K96)</f>
        <v>Plant Held for Future Use</v>
      </c>
      <c r="M96" s="293">
        <v>0</v>
      </c>
      <c r="N96" s="293">
        <v>0</v>
      </c>
      <c r="O96" s="293">
        <v>0</v>
      </c>
      <c r="P96" s="293">
        <v>54665937.289999999</v>
      </c>
      <c r="Q96" s="293">
        <v>54665937.289999999</v>
      </c>
      <c r="R96" s="293">
        <v>54665937.289999999</v>
      </c>
      <c r="S96" s="293">
        <v>54665937.289999999</v>
      </c>
      <c r="T96" s="293">
        <v>54665937.289999999</v>
      </c>
      <c r="U96" s="293">
        <v>54666446.340000004</v>
      </c>
      <c r="V96" s="293">
        <v>54666446.340000004</v>
      </c>
      <c r="W96" s="293">
        <v>54666446.340000004</v>
      </c>
      <c r="X96" s="293">
        <v>55166446.340000004</v>
      </c>
      <c r="Y96" s="293">
        <v>55166446.340000004</v>
      </c>
      <c r="Z96" s="293">
        <v>55166446.340000004</v>
      </c>
      <c r="AA96" s="293">
        <v>55166446.340000004</v>
      </c>
      <c r="AB96" s="293">
        <v>55166446.340000004</v>
      </c>
    </row>
    <row r="97" spans="10:28" ht="15" customHeight="1" x14ac:dyDescent="0.25">
      <c r="J97" s="291" t="str">
        <f xml:space="preserve"> _xll.EPMOlapMemberO("[COSTCENTER].[PARENTH1].[1001]","","1001","","000")</f>
        <v>1001</v>
      </c>
      <c r="K97" s="295" t="str">
        <f xml:space="preserve"> _xll.EPMOlapMemberO("[C_ACCOUNT].[PARENTH1].[A_1070000]","","A_1070000","","000")</f>
        <v>A_1070000</v>
      </c>
      <c r="L97" s="293" t="str">
        <f>_xll.EPMMemberDesc(K97)</f>
        <v>Construction Work in Progress</v>
      </c>
      <c r="M97" s="293">
        <v>0</v>
      </c>
      <c r="N97" s="293">
        <v>0</v>
      </c>
      <c r="O97" s="293">
        <v>0</v>
      </c>
      <c r="P97" s="293">
        <v>1120961862.72</v>
      </c>
      <c r="Q97" s="293">
        <v>1167556406.24</v>
      </c>
      <c r="R97" s="293">
        <v>1207638242.5999999</v>
      </c>
      <c r="S97" s="293">
        <v>1246222981.28</v>
      </c>
      <c r="T97" s="293">
        <v>1305443489.5899999</v>
      </c>
      <c r="U97" s="293">
        <v>1381927328.54</v>
      </c>
      <c r="V97" s="293">
        <v>1431854285.3800001</v>
      </c>
      <c r="W97" s="293">
        <v>1470594313.51</v>
      </c>
      <c r="X97" s="293">
        <v>1520754626.54</v>
      </c>
      <c r="Y97" s="293">
        <v>1541505834.0599999</v>
      </c>
      <c r="Z97" s="293">
        <v>1049946321.6</v>
      </c>
      <c r="AA97" s="293">
        <v>785154379.07999897</v>
      </c>
      <c r="AB97" s="293">
        <v>785154379.07999897</v>
      </c>
    </row>
    <row r="98" spans="10:28" ht="15" customHeight="1" x14ac:dyDescent="0.2">
      <c r="J98" s="286" t="str">
        <f xml:space="preserve"> _xll.EPMOlapMemberO("[COSTCENTER].[PARENTH1].[1001]","","1001","","000")</f>
        <v>1001</v>
      </c>
      <c r="K98" s="294" t="str">
        <f xml:space="preserve"> _xll.EPMOlapMemberO("[C_ACCOUNT].[PARENTH1].[OTHER_PROPERTY]","","OTHER_PROPERTY","","000")</f>
        <v>OTHER_PROPERTY</v>
      </c>
      <c r="L98" s="286" t="str">
        <f>_xll.EPMMemberDesc(K98)</f>
        <v>Other property</v>
      </c>
      <c r="M98" s="287">
        <v>0</v>
      </c>
      <c r="N98" s="287">
        <v>0</v>
      </c>
      <c r="O98" s="287">
        <v>0</v>
      </c>
      <c r="P98" s="287">
        <v>14002151.310000001</v>
      </c>
      <c r="Q98" s="287">
        <v>14110774.470000001</v>
      </c>
      <c r="R98" s="287">
        <v>14219397.630000001</v>
      </c>
      <c r="S98" s="287">
        <v>14328020.789999999</v>
      </c>
      <c r="T98" s="287">
        <v>14436643.949999999</v>
      </c>
      <c r="U98" s="287">
        <v>14545267.109999999</v>
      </c>
      <c r="V98" s="287">
        <v>14653890.27</v>
      </c>
      <c r="W98" s="287">
        <v>14762513.43</v>
      </c>
      <c r="X98" s="287">
        <v>14871136.59</v>
      </c>
      <c r="Y98" s="287">
        <v>14979759.75</v>
      </c>
      <c r="Z98" s="287">
        <v>15088382.91</v>
      </c>
      <c r="AA98" s="287">
        <v>15197006.119999999</v>
      </c>
      <c r="AB98" s="287">
        <v>15197006.119999999</v>
      </c>
    </row>
    <row r="99" spans="10:28" ht="15" customHeight="1" x14ac:dyDescent="0.25">
      <c r="J99" s="291" t="str">
        <f xml:space="preserve"> _xll.EPMOlapMemberO("[COSTCENTER].[PARENTH1].[1001]","","1001","","000")</f>
        <v>1001</v>
      </c>
      <c r="K99" s="295" t="str">
        <f xml:space="preserve"> _xll.EPMOlapMemberO("[C_ACCOUNT].[PARENTH1].[A_1210000]","","A_1210000","","000")</f>
        <v>A_1210000</v>
      </c>
      <c r="L99" s="293" t="str">
        <f>_xll.EPMMemberDesc(K99)</f>
        <v>Nonutility Property</v>
      </c>
      <c r="M99" s="293">
        <v>0</v>
      </c>
      <c r="N99" s="293">
        <v>0</v>
      </c>
      <c r="O99" s="293">
        <v>0</v>
      </c>
      <c r="P99" s="293">
        <v>14002151.310000001</v>
      </c>
      <c r="Q99" s="293">
        <v>14110774.470000001</v>
      </c>
      <c r="R99" s="293">
        <v>14219397.630000001</v>
      </c>
      <c r="S99" s="293">
        <v>14328020.789999999</v>
      </c>
      <c r="T99" s="293">
        <v>14436643.949999999</v>
      </c>
      <c r="U99" s="293">
        <v>14545267.109999999</v>
      </c>
      <c r="V99" s="293">
        <v>14653890.27</v>
      </c>
      <c r="W99" s="293">
        <v>14762513.43</v>
      </c>
      <c r="X99" s="293">
        <v>14871136.59</v>
      </c>
      <c r="Y99" s="293">
        <v>14979759.75</v>
      </c>
      <c r="Z99" s="293">
        <v>15088382.91</v>
      </c>
      <c r="AA99" s="293">
        <v>15197006.119999999</v>
      </c>
      <c r="AB99" s="293">
        <v>15197006.119999999</v>
      </c>
    </row>
    <row r="100" spans="10:28" ht="15" customHeight="1" x14ac:dyDescent="0.2">
      <c r="J100" s="286" t="str">
        <f xml:space="preserve"> _xll.EPMOlapMemberO("[COSTCENTER].[PARENTH1].[1001]","","1001","","000")</f>
        <v>1001</v>
      </c>
      <c r="K100" s="290" t="str">
        <f xml:space="preserve"> _xll.EPMOlapMemberO("[C_ACCOUNT].[PARENTH1].[ACCU_DEPRECIATION]","","ACCU_DEPRECIATION","","000")</f>
        <v>ACCU_DEPRECIATION</v>
      </c>
      <c r="L100" s="286" t="str">
        <f>_xll.EPMMemberDesc(K100)</f>
        <v>Accumulated Depreciation</v>
      </c>
      <c r="M100" s="287">
        <v>0</v>
      </c>
      <c r="N100" s="287">
        <v>0</v>
      </c>
      <c r="O100" s="287">
        <v>0</v>
      </c>
      <c r="P100" s="287">
        <v>-3081585005.317996</v>
      </c>
      <c r="Q100" s="287">
        <v>-3103166532.242415</v>
      </c>
      <c r="R100" s="287">
        <v>-3119561094.4917073</v>
      </c>
      <c r="S100" s="287">
        <v>-3137842413.4913187</v>
      </c>
      <c r="T100" s="287">
        <v>-3158366114.5737758</v>
      </c>
      <c r="U100" s="287">
        <v>-3169566093.081481</v>
      </c>
      <c r="V100" s="287">
        <v>-3191966379.9368377</v>
      </c>
      <c r="W100" s="287">
        <v>-3212194459.5105214</v>
      </c>
      <c r="X100" s="287">
        <v>-3232866731.2001777</v>
      </c>
      <c r="Y100" s="287">
        <v>-3252206725.0323839</v>
      </c>
      <c r="Z100" s="287">
        <v>-3202884496.8489914</v>
      </c>
      <c r="AA100" s="287">
        <v>-2668016251.0726342</v>
      </c>
      <c r="AB100" s="287">
        <v>-2668016251.0726342</v>
      </c>
    </row>
    <row r="101" spans="10:28" ht="15" customHeight="1" x14ac:dyDescent="0.25">
      <c r="J101" s="291" t="str">
        <f xml:space="preserve"> _xll.EPMOlapMemberO("[COSTCENTER].[PARENTH1].[1001]","","1001","","000")</f>
        <v>1001</v>
      </c>
      <c r="K101" s="292" t="str">
        <f xml:space="preserve"> _xll.EPMOlapMemberO("[C_ACCOUNT].[PARENTH1].[A_1080000]","","A_1080000","","000")</f>
        <v>A_1080000</v>
      </c>
      <c r="L101" s="293" t="str">
        <f>_xll.EPMMemberDesc(K101)</f>
        <v>Accumulated Provision for Depreciation</v>
      </c>
      <c r="M101" s="293">
        <v>0</v>
      </c>
      <c r="N101" s="293">
        <v>0</v>
      </c>
      <c r="O101" s="293">
        <v>0</v>
      </c>
      <c r="P101" s="293">
        <v>-3357743246.6042199</v>
      </c>
      <c r="Q101" s="293">
        <v>-3377828827.7068801</v>
      </c>
      <c r="R101" s="293">
        <v>-3392722170.8716798</v>
      </c>
      <c r="S101" s="293">
        <v>-3409498226.3376098</v>
      </c>
      <c r="T101" s="293">
        <v>-3428513374.08711</v>
      </c>
      <c r="U101" s="293">
        <v>-3438201664.31775</v>
      </c>
      <c r="V101" s="293">
        <v>-3459083273.9956398</v>
      </c>
      <c r="W101" s="293">
        <v>-3477784267.1944399</v>
      </c>
      <c r="X101" s="293">
        <v>-3496922059.96698</v>
      </c>
      <c r="Y101" s="293">
        <v>-3514706314.3043399</v>
      </c>
      <c r="Z101" s="293">
        <v>-3463765591.8047299</v>
      </c>
      <c r="AA101" s="293">
        <v>-2927253429.44979</v>
      </c>
      <c r="AB101" s="293">
        <v>-2927253429.44979</v>
      </c>
    </row>
    <row r="102" spans="10:28" ht="15" customHeight="1" x14ac:dyDescent="0.25">
      <c r="J102" s="291" t="str">
        <f xml:space="preserve"> _xll.EPMOlapMemberO("[COSTCENTER].[PARENTH1].[1001]","","1001","","000")</f>
        <v>1001</v>
      </c>
      <c r="K102" s="292" t="str">
        <f xml:space="preserve"> _xll.EPMOlapMemberO("[C_ACCOUNT].[PARENTH1].[A_1080001]","","A_1080001","","000")</f>
        <v>A_1080001</v>
      </c>
      <c r="L102" s="293" t="str">
        <f>_xll.EPMMemberDesc(K102)</f>
        <v>Retirement Work in Progress</v>
      </c>
      <c r="M102" s="293">
        <v>0</v>
      </c>
      <c r="N102" s="293">
        <v>0</v>
      </c>
      <c r="O102" s="293">
        <v>0</v>
      </c>
      <c r="P102" s="293">
        <v>59574427.32</v>
      </c>
      <c r="Q102" s="293">
        <v>59574427.32</v>
      </c>
      <c r="R102" s="293">
        <v>59574427.32</v>
      </c>
      <c r="S102" s="293">
        <v>59574427.32</v>
      </c>
      <c r="T102" s="293">
        <v>59574427.32</v>
      </c>
      <c r="U102" s="293">
        <v>59574427.32</v>
      </c>
      <c r="V102" s="293">
        <v>59574427.32</v>
      </c>
      <c r="W102" s="293">
        <v>59574427.32</v>
      </c>
      <c r="X102" s="293">
        <v>59574427.32</v>
      </c>
      <c r="Y102" s="293">
        <v>59574427.32</v>
      </c>
      <c r="Z102" s="293">
        <v>59574427.32</v>
      </c>
      <c r="AA102" s="293">
        <v>59574427.32</v>
      </c>
      <c r="AB102" s="293">
        <v>59574427.32</v>
      </c>
    </row>
    <row r="103" spans="10:28" ht="15" customHeight="1" x14ac:dyDescent="0.25">
      <c r="J103" s="291" t="str">
        <f xml:space="preserve"> _xll.EPMOlapMemberO("[COSTCENTER].[PARENTH1].[1001]","","1001","","000")</f>
        <v>1001</v>
      </c>
      <c r="K103" s="292" t="str">
        <f xml:space="preserve"> _xll.EPMOlapMemberO("[C_ACCOUNT].[PARENTH1].[A_1080100]","","A_1080100","","000")</f>
        <v>A_1080100</v>
      </c>
      <c r="L103" s="293" t="str">
        <f>_xll.EPMMemberDesc(K103)</f>
        <v>Accumulated Reserve Cost of Removal - Current</v>
      </c>
      <c r="M103" s="293">
        <v>0</v>
      </c>
      <c r="N103" s="293">
        <v>0</v>
      </c>
      <c r="O103" s="293">
        <v>0</v>
      </c>
      <c r="P103" s="293">
        <v>15728722.42</v>
      </c>
      <c r="Q103" s="293">
        <v>15733722.42</v>
      </c>
      <c r="R103" s="293">
        <v>15738722.42</v>
      </c>
      <c r="S103" s="293">
        <v>15743722.42</v>
      </c>
      <c r="T103" s="293">
        <v>15748722.42</v>
      </c>
      <c r="U103" s="293">
        <v>15753722.42</v>
      </c>
      <c r="V103" s="293">
        <v>15758722.42</v>
      </c>
      <c r="W103" s="293">
        <v>15763722.42</v>
      </c>
      <c r="X103" s="293">
        <v>15768722.42</v>
      </c>
      <c r="Y103" s="293">
        <v>15773722.42</v>
      </c>
      <c r="Z103" s="293">
        <v>15778722.42</v>
      </c>
      <c r="AA103" s="293">
        <v>15783722.42</v>
      </c>
      <c r="AB103" s="293">
        <v>15783722.42</v>
      </c>
    </row>
    <row r="104" spans="10:28" ht="15" customHeight="1" x14ac:dyDescent="0.25">
      <c r="J104" s="291" t="str">
        <f xml:space="preserve"> _xll.EPMOlapMemberO("[COSTCENTER].[PARENTH1].[1001]","","1001","","000")</f>
        <v>1001</v>
      </c>
      <c r="K104" s="292" t="str">
        <f xml:space="preserve"> _xll.EPMOlapMemberO("[C_ACCOUNT].[PARENTH1].[A_1080200]","","A_1080200","","000")</f>
        <v>A_1080200</v>
      </c>
      <c r="L104" s="293" t="str">
        <f>_xll.EPMMemberDesc(K104)</f>
        <v>Accumulated Reserve Cost of Removal - Non-Current</v>
      </c>
      <c r="M104" s="293">
        <v>0</v>
      </c>
      <c r="N104" s="293">
        <v>0</v>
      </c>
      <c r="O104" s="293">
        <v>0</v>
      </c>
      <c r="P104" s="293">
        <v>298845725.92000002</v>
      </c>
      <c r="Q104" s="293">
        <v>298940725.92000002</v>
      </c>
      <c r="R104" s="293">
        <v>299035725.92000002</v>
      </c>
      <c r="S104" s="293">
        <v>299130725.92000002</v>
      </c>
      <c r="T104" s="293">
        <v>299225725.92000002</v>
      </c>
      <c r="U104" s="293">
        <v>299320725.92000002</v>
      </c>
      <c r="V104" s="293">
        <v>299415725.92000002</v>
      </c>
      <c r="W104" s="293">
        <v>299510725.92000002</v>
      </c>
      <c r="X104" s="293">
        <v>299605725.92000002</v>
      </c>
      <c r="Y104" s="293">
        <v>299700725.92000002</v>
      </c>
      <c r="Z104" s="293">
        <v>299795725.92000002</v>
      </c>
      <c r="AA104" s="293">
        <v>299890725.92000002</v>
      </c>
      <c r="AB104" s="293">
        <v>299890725.92000002</v>
      </c>
    </row>
    <row r="105" spans="10:28" ht="15" customHeight="1" x14ac:dyDescent="0.25">
      <c r="J105" s="291" t="str">
        <f xml:space="preserve"> _xll.EPMOlapMemberO("[COSTCENTER].[PARENTH1].[1001]","","1001","","000")</f>
        <v>1001</v>
      </c>
      <c r="K105" s="292" t="str">
        <f xml:space="preserve"> _xll.EPMOlapMemberO("[C_ACCOUNT].[PARENTH1].[A_1110000]","","A_1110000","","000")</f>
        <v>A_1110000</v>
      </c>
      <c r="L105" s="293" t="str">
        <f>_xll.EPMMemberDesc(K105)</f>
        <v>Accumulated Provision For Amortization</v>
      </c>
      <c r="M105" s="293">
        <v>0</v>
      </c>
      <c r="N105" s="293">
        <v>0</v>
      </c>
      <c r="O105" s="293">
        <v>0</v>
      </c>
      <c r="P105" s="293">
        <v>-84938149.121887296</v>
      </c>
      <c r="Q105" s="293">
        <v>-86441854.935812697</v>
      </c>
      <c r="R105" s="293">
        <v>-87950230.550471604</v>
      </c>
      <c r="S105" s="293">
        <v>-89462047.152319804</v>
      </c>
      <c r="T105" s="293">
        <v>-90976550.0914433</v>
      </c>
      <c r="U105" s="293">
        <v>-92493584.512675196</v>
      </c>
      <c r="V105" s="293">
        <v>-94017004.372308493</v>
      </c>
      <c r="W105" s="293">
        <v>-95548229.967359096</v>
      </c>
      <c r="X105" s="293">
        <v>-97086244.6426422</v>
      </c>
      <c r="Y105" s="293">
        <v>-98644916.433654904</v>
      </c>
      <c r="Z105" s="293">
        <v>-100265739.584039</v>
      </c>
      <c r="AA105" s="293">
        <v>-101911381.534789</v>
      </c>
      <c r="AB105" s="293">
        <v>-101911381.534789</v>
      </c>
    </row>
    <row r="106" spans="10:28" ht="15" customHeight="1" x14ac:dyDescent="0.25">
      <c r="J106" s="291" t="str">
        <f xml:space="preserve"> _xll.EPMOlapMemberO("[COSTCENTER].[PARENTH1].[1001]","","1001","","000")</f>
        <v>1001</v>
      </c>
      <c r="K106" s="292" t="str">
        <f xml:space="preserve"> _xll.EPMOlapMemberO("[C_ACCOUNT].[PARENTH1].[A_1150000]","","A_1150000","","000")</f>
        <v>A_1150000</v>
      </c>
      <c r="L106" s="293" t="str">
        <f>_xll.EPMMemberDesc(K106)</f>
        <v>Accum Provision Amort Plant Acquisition Adjustment</v>
      </c>
      <c r="M106" s="293">
        <v>0</v>
      </c>
      <c r="N106" s="293">
        <v>0</v>
      </c>
      <c r="O106" s="293">
        <v>0</v>
      </c>
      <c r="P106" s="293">
        <v>-5956257.1100000003</v>
      </c>
      <c r="Q106" s="293">
        <v>-5975982.8499999996</v>
      </c>
      <c r="R106" s="293">
        <v>-5995708.5899999999</v>
      </c>
      <c r="S106" s="293">
        <v>-6015434.3300000001</v>
      </c>
      <c r="T106" s="293">
        <v>-6035160.0700000003</v>
      </c>
      <c r="U106" s="293">
        <v>-6054885.8099999996</v>
      </c>
      <c r="V106" s="293">
        <v>-6074611.5499999998</v>
      </c>
      <c r="W106" s="293">
        <v>-6094337.29</v>
      </c>
      <c r="X106" s="293">
        <v>-6114063.0300000003</v>
      </c>
      <c r="Y106" s="293">
        <v>-6133788.7699999996</v>
      </c>
      <c r="Z106" s="293">
        <v>-6153514.5099999998</v>
      </c>
      <c r="AA106" s="293">
        <v>-6173240.25</v>
      </c>
      <c r="AB106" s="293">
        <v>-6173240.25</v>
      </c>
    </row>
    <row r="107" spans="10:28" ht="15" customHeight="1" x14ac:dyDescent="0.25">
      <c r="J107" s="291" t="str">
        <f xml:space="preserve"> _xll.EPMOlapMemberO("[COSTCENTER].[PARENTH1].[1001]","","1001","","000")</f>
        <v>1001</v>
      </c>
      <c r="K107" s="292" t="str">
        <f xml:space="preserve"> _xll.EPMOlapMemberO("[C_ACCOUNT].[PARENTH1].[A_1220000]","","A_1220000","","000")</f>
        <v>A_1220000</v>
      </c>
      <c r="L107" s="293" t="str">
        <f>_xll.EPMMemberDesc(K107)</f>
        <v>Accum Provision Depr Amortiz Nonutility Property</v>
      </c>
      <c r="M107" s="293">
        <v>0</v>
      </c>
      <c r="N107" s="293">
        <v>0</v>
      </c>
      <c r="O107" s="293">
        <v>0</v>
      </c>
      <c r="P107" s="293">
        <v>-7096228.1418888997</v>
      </c>
      <c r="Q107" s="293">
        <v>-7168742.4097221997</v>
      </c>
      <c r="R107" s="293">
        <v>-7241860.1395555995</v>
      </c>
      <c r="S107" s="293">
        <v>-7315581.3313889001</v>
      </c>
      <c r="T107" s="293">
        <v>-7389905.9852221999</v>
      </c>
      <c r="U107" s="293">
        <v>-7464834.1010555997</v>
      </c>
      <c r="V107" s="293">
        <v>-7540365.6788889002</v>
      </c>
      <c r="W107" s="293">
        <v>-7616500.7187222</v>
      </c>
      <c r="X107" s="293">
        <v>-7693239.2205555998</v>
      </c>
      <c r="Y107" s="293">
        <v>-7770581.1843889002</v>
      </c>
      <c r="Z107" s="293">
        <v>-7848526.6102221999</v>
      </c>
      <c r="AA107" s="293">
        <v>-7927075.4980555996</v>
      </c>
      <c r="AB107" s="293">
        <v>-7927075.4980555996</v>
      </c>
    </row>
    <row r="108" spans="10:28" ht="15" customHeight="1" x14ac:dyDescent="0.2">
      <c r="J108" s="286" t="str">
        <f xml:space="preserve"> _xll.EPMOlapMemberO("[COSTCENTER].[PARENTH1].[1001]","","1001","","000")</f>
        <v>1001</v>
      </c>
      <c r="K108" s="289" t="str">
        <f xml:space="preserve"> _xll.EPMOlapMemberO("[C_ACCOUNT].[PARENTH1].[OTHER_ASSETS]","","OTHER_ASSETS","","000")</f>
        <v>OTHER_ASSETS</v>
      </c>
      <c r="L108" s="286" t="str">
        <f>_xll.EPMMemberDesc(K108)</f>
        <v>OTHER ASSETS</v>
      </c>
      <c r="M108" s="287">
        <v>0</v>
      </c>
      <c r="N108" s="287">
        <v>0</v>
      </c>
      <c r="O108" s="287">
        <v>0</v>
      </c>
      <c r="P108" s="287">
        <v>1010545272.6456594</v>
      </c>
      <c r="Q108" s="287">
        <v>1013560501.0998584</v>
      </c>
      <c r="R108" s="287">
        <v>1012717577.4357784</v>
      </c>
      <c r="S108" s="287">
        <v>1012543558.9411027</v>
      </c>
      <c r="T108" s="287">
        <v>1011987378.1269292</v>
      </c>
      <c r="U108" s="287">
        <v>1011812255.7878844</v>
      </c>
      <c r="V108" s="287">
        <v>1010619129.2622443</v>
      </c>
      <c r="W108" s="287">
        <v>1005468541.1570514</v>
      </c>
      <c r="X108" s="287">
        <v>1004372670.1458852</v>
      </c>
      <c r="Y108" s="287">
        <v>1004240703.5561872</v>
      </c>
      <c r="Z108" s="287">
        <v>1057019963.2238616</v>
      </c>
      <c r="AA108" s="287">
        <v>1058001724.51965</v>
      </c>
      <c r="AB108" s="287">
        <v>1058001724.51965</v>
      </c>
    </row>
    <row r="109" spans="10:28" ht="15" customHeight="1" x14ac:dyDescent="0.2">
      <c r="J109" s="286" t="str">
        <f xml:space="preserve"> _xll.EPMOlapMemberO("[COSTCENTER].[PARENTH1].[1001]","","1001","","000")</f>
        <v>1001</v>
      </c>
      <c r="K109" s="290" t="str">
        <f xml:space="preserve"> _xll.EPMOlapMemberO("[C_ACCOUNT].[PARENTH1].[DEF_INCTAX_AST]","","DEF_INCTAX_AST","","000")</f>
        <v>DEF_INCTAX_AST</v>
      </c>
      <c r="L109" s="286" t="str">
        <f>_xll.EPMMemberDesc(K109)</f>
        <v>Deferred income taxes - Asset</v>
      </c>
      <c r="M109" s="287">
        <v>0</v>
      </c>
      <c r="N109" s="287">
        <v>0</v>
      </c>
      <c r="O109" s="287">
        <v>0</v>
      </c>
      <c r="P109" s="287">
        <v>594705553.30999994</v>
      </c>
      <c r="Q109" s="287">
        <v>595053682.13999999</v>
      </c>
      <c r="R109" s="287">
        <v>594480098.27999997</v>
      </c>
      <c r="S109" s="287">
        <v>593400118.80999994</v>
      </c>
      <c r="T109" s="287">
        <v>591897788.67999995</v>
      </c>
      <c r="U109" s="287">
        <v>590094640.38</v>
      </c>
      <c r="V109" s="287">
        <v>587712285.23000002</v>
      </c>
      <c r="W109" s="287">
        <v>585407091.34000003</v>
      </c>
      <c r="X109" s="287">
        <v>583357525.96000004</v>
      </c>
      <c r="Y109" s="287">
        <v>581672446.59000015</v>
      </c>
      <c r="Z109" s="287">
        <v>625817719.55000007</v>
      </c>
      <c r="AA109" s="287">
        <v>625131078.58000004</v>
      </c>
      <c r="AB109" s="287">
        <v>625131078.58000004</v>
      </c>
    </row>
    <row r="110" spans="10:28" ht="15" customHeight="1" x14ac:dyDescent="0.25">
      <c r="J110" s="291" t="str">
        <f xml:space="preserve"> _xll.EPMOlapMemberO("[COSTCENTER].[PARENTH1].[1001]","","1001","","000")</f>
        <v>1001</v>
      </c>
      <c r="K110" s="292" t="str">
        <f xml:space="preserve"> _xll.EPMOlapMemberO("[C_ACCOUNT].[PARENTH1].[A_1900300]","","A_1900300","","000")</f>
        <v>A_1900300</v>
      </c>
      <c r="L110" s="293" t="str">
        <f>_xll.EPMMemberDesc(K110)</f>
        <v>Deferred Tax Asset - Federal</v>
      </c>
      <c r="M110" s="293">
        <v>0</v>
      </c>
      <c r="N110" s="293">
        <v>0</v>
      </c>
      <c r="O110" s="293">
        <v>0</v>
      </c>
      <c r="P110" s="293">
        <v>99998384.189999893</v>
      </c>
      <c r="Q110" s="293">
        <v>98909996.709999904</v>
      </c>
      <c r="R110" s="293">
        <v>97756489.029999897</v>
      </c>
      <c r="S110" s="293">
        <v>96579198.819999903</v>
      </c>
      <c r="T110" s="293">
        <v>95375581.099999905</v>
      </c>
      <c r="U110" s="293">
        <v>94145420.199999899</v>
      </c>
      <c r="V110" s="293">
        <v>92803367.279999897</v>
      </c>
      <c r="W110" s="293">
        <v>91549454.409999907</v>
      </c>
      <c r="X110" s="293">
        <v>90303570.419999897</v>
      </c>
      <c r="Y110" s="293">
        <v>89069471.669999897</v>
      </c>
      <c r="Z110" s="293">
        <v>87896707.989999905</v>
      </c>
      <c r="AA110" s="293">
        <v>86737653.259999901</v>
      </c>
      <c r="AB110" s="293">
        <v>86737653.259999901</v>
      </c>
    </row>
    <row r="111" spans="10:28" ht="15" customHeight="1" x14ac:dyDescent="0.25">
      <c r="J111" s="291" t="str">
        <f xml:space="preserve"> _xll.EPMOlapMemberO("[COSTCENTER].[PARENTH1].[1001]","","1001","","000")</f>
        <v>1001</v>
      </c>
      <c r="K111" s="292" t="str">
        <f xml:space="preserve"> _xll.EPMOlapMemberO("[C_ACCOUNT].[PARENTH1].[A_1900303]","","A_1900303","","000")</f>
        <v>A_1900303</v>
      </c>
      <c r="L111" s="293" t="str">
        <f>_xll.EPMMemberDesc(K111)</f>
        <v>DTA Separate Company - Federal</v>
      </c>
      <c r="M111" s="293">
        <v>0</v>
      </c>
      <c r="N111" s="293">
        <v>0</v>
      </c>
      <c r="O111" s="293">
        <v>0</v>
      </c>
      <c r="P111" s="293">
        <v>111438250.09</v>
      </c>
      <c r="Q111" s="293">
        <v>110854364.45999999</v>
      </c>
      <c r="R111" s="293">
        <v>110613716.98</v>
      </c>
      <c r="S111" s="293">
        <v>110498113.23</v>
      </c>
      <c r="T111" s="293">
        <v>110520984.48</v>
      </c>
      <c r="U111" s="293">
        <v>110683467.81</v>
      </c>
      <c r="V111" s="293">
        <v>110958617.37</v>
      </c>
      <c r="W111" s="293">
        <v>111244613.81</v>
      </c>
      <c r="X111" s="293">
        <v>111487732.02</v>
      </c>
      <c r="Y111" s="293">
        <v>111562240.56</v>
      </c>
      <c r="Z111" s="293">
        <v>111432136.8</v>
      </c>
      <c r="AA111" s="293">
        <v>111229207.90000001</v>
      </c>
      <c r="AB111" s="293">
        <v>111229207.90000001</v>
      </c>
    </row>
    <row r="112" spans="10:28" ht="15" customHeight="1" x14ac:dyDescent="0.25">
      <c r="J112" s="291" t="str">
        <f xml:space="preserve"> _xll.EPMOlapMemberO("[COSTCENTER].[PARENTH1].[1001]","","1001","","000")</f>
        <v>1001</v>
      </c>
      <c r="K112" s="292" t="str">
        <f xml:space="preserve"> _xll.EPMOlapMemberO("[C_ACCOUNT].[PARENTH1].[A_1900305]","","A_1900305","","000")</f>
        <v>A_1900305</v>
      </c>
      <c r="L112" s="293" t="str">
        <f>_xll.EPMMemberDesc(K112)</f>
        <v>Deferred Tax Asset - Federal Non Utility</v>
      </c>
      <c r="M112" s="293">
        <v>0</v>
      </c>
      <c r="N112" s="293">
        <v>0</v>
      </c>
      <c r="O112" s="293">
        <v>0</v>
      </c>
      <c r="P112" s="293">
        <v>3169.11</v>
      </c>
      <c r="Q112" s="293">
        <v>3169.11</v>
      </c>
      <c r="R112" s="293">
        <v>3169.11</v>
      </c>
      <c r="S112" s="293">
        <v>3169.11</v>
      </c>
      <c r="T112" s="293">
        <v>3169.11</v>
      </c>
      <c r="U112" s="293">
        <v>3169.11</v>
      </c>
      <c r="V112" s="293">
        <v>3169.11</v>
      </c>
      <c r="W112" s="293">
        <v>3169.11</v>
      </c>
      <c r="X112" s="293">
        <v>3169.11</v>
      </c>
      <c r="Y112" s="293">
        <v>3169.11</v>
      </c>
      <c r="Z112" s="293">
        <v>3169.11</v>
      </c>
      <c r="AA112" s="293">
        <v>3169.11</v>
      </c>
      <c r="AB112" s="293">
        <v>3169.11</v>
      </c>
    </row>
    <row r="113" spans="10:28" ht="15" customHeight="1" x14ac:dyDescent="0.25">
      <c r="J113" s="291" t="str">
        <f xml:space="preserve"> _xll.EPMOlapMemberO("[COSTCENTER].[PARENTH1].[1001]","","1001","","000")</f>
        <v>1001</v>
      </c>
      <c r="K113" s="292" t="str">
        <f xml:space="preserve"> _xll.EPMOlapMemberO("[C_ACCOUNT].[PARENTH1].[A_1900306]","","A_1900306","","000")</f>
        <v>A_1900306</v>
      </c>
      <c r="L113" s="293" t="str">
        <f>_xll.EPMMemberDesc(K113)</f>
        <v>Deferred Tax FIT - FAS 133</v>
      </c>
      <c r="M113" s="293">
        <v>0</v>
      </c>
      <c r="N113" s="293">
        <v>0</v>
      </c>
      <c r="O113" s="293">
        <v>0</v>
      </c>
      <c r="P113" s="293">
        <v>1926508.04</v>
      </c>
      <c r="Q113" s="293">
        <v>1926508.04</v>
      </c>
      <c r="R113" s="293">
        <v>1926508.04</v>
      </c>
      <c r="S113" s="293">
        <v>1926508.04</v>
      </c>
      <c r="T113" s="293">
        <v>1926508.04</v>
      </c>
      <c r="U113" s="293">
        <v>1926508.04</v>
      </c>
      <c r="V113" s="293">
        <v>1926508.04</v>
      </c>
      <c r="W113" s="293">
        <v>1926508.04</v>
      </c>
      <c r="X113" s="293">
        <v>1926508.04</v>
      </c>
      <c r="Y113" s="293">
        <v>1926508.04</v>
      </c>
      <c r="Z113" s="293">
        <v>1926508.04</v>
      </c>
      <c r="AA113" s="293">
        <v>1926508.04</v>
      </c>
      <c r="AB113" s="293">
        <v>1926508.04</v>
      </c>
    </row>
    <row r="114" spans="10:28" ht="15" customHeight="1" x14ac:dyDescent="0.25">
      <c r="J114" s="291" t="str">
        <f xml:space="preserve"> _xll.EPMOlapMemberO("[COSTCENTER].[PARENTH1].[1001]","","1001","","000")</f>
        <v>1001</v>
      </c>
      <c r="K114" s="292" t="str">
        <f xml:space="preserve"> _xll.EPMOlapMemberO("[C_ACCOUNT].[PARENTH1].[A_1900307]","","A_1900307","","000")</f>
        <v>A_1900307</v>
      </c>
      <c r="L114" s="293" t="str">
        <f>_xll.EPMMemberDesc(K114)</f>
        <v>Deferred Tax FIT - FAS 133 Interest</v>
      </c>
      <c r="M114" s="293">
        <v>0</v>
      </c>
      <c r="N114" s="293">
        <v>0</v>
      </c>
      <c r="O114" s="293">
        <v>0</v>
      </c>
      <c r="P114" s="293">
        <v>762394.39</v>
      </c>
      <c r="Q114" s="293">
        <v>760773.25</v>
      </c>
      <c r="R114" s="293">
        <v>759152.11</v>
      </c>
      <c r="S114" s="293">
        <v>757530.96</v>
      </c>
      <c r="T114" s="293">
        <v>755909.82</v>
      </c>
      <c r="U114" s="293">
        <v>754288.67</v>
      </c>
      <c r="V114" s="293">
        <v>752667.54</v>
      </c>
      <c r="W114" s="293">
        <v>751046.39</v>
      </c>
      <c r="X114" s="293">
        <v>749425.24</v>
      </c>
      <c r="Y114" s="293">
        <v>747804.1</v>
      </c>
      <c r="Z114" s="293">
        <v>746182.96</v>
      </c>
      <c r="AA114" s="293">
        <v>744561.81</v>
      </c>
      <c r="AB114" s="293">
        <v>744561.81</v>
      </c>
    </row>
    <row r="115" spans="10:28" ht="15" customHeight="1" x14ac:dyDescent="0.25">
      <c r="J115" s="291" t="str">
        <f xml:space="preserve"> _xll.EPMOlapMemberO("[COSTCENTER].[PARENTH1].[1001]","","1001","","000")</f>
        <v>1001</v>
      </c>
      <c r="K115" s="292" t="str">
        <f xml:space="preserve"> _xll.EPMOlapMemberO("[C_ACCOUNT].[PARENTH1].[A_1900308]","","A_1900308","","000")</f>
        <v>A_1900308</v>
      </c>
      <c r="L115" s="293" t="str">
        <f>_xll.EPMMemberDesc(K115)</f>
        <v>Deferred Tax FIT - FAS 158</v>
      </c>
      <c r="M115" s="293">
        <v>0</v>
      </c>
      <c r="N115" s="293">
        <v>0</v>
      </c>
      <c r="O115" s="293">
        <v>0</v>
      </c>
      <c r="P115" s="293">
        <v>83446881.469999999</v>
      </c>
      <c r="Q115" s="293">
        <v>83446881.469999999</v>
      </c>
      <c r="R115" s="293">
        <v>83446881.469999999</v>
      </c>
      <c r="S115" s="293">
        <v>83446881.469999999</v>
      </c>
      <c r="T115" s="293">
        <v>83446881.469999999</v>
      </c>
      <c r="U115" s="293">
        <v>83446881.469999999</v>
      </c>
      <c r="V115" s="293">
        <v>83446881.469999999</v>
      </c>
      <c r="W115" s="293">
        <v>83446881.469999999</v>
      </c>
      <c r="X115" s="293">
        <v>83446881.469999999</v>
      </c>
      <c r="Y115" s="293">
        <v>83446881.469999999</v>
      </c>
      <c r="Z115" s="293">
        <v>83446881.469999999</v>
      </c>
      <c r="AA115" s="293">
        <v>83446881.469999999</v>
      </c>
      <c r="AB115" s="293">
        <v>83446881.469999999</v>
      </c>
    </row>
    <row r="116" spans="10:28" ht="15" customHeight="1" x14ac:dyDescent="0.25">
      <c r="J116" s="291" t="str">
        <f xml:space="preserve"> _xll.EPMOlapMemberO("[COSTCENTER].[PARENTH1].[1001]","","1001","","000")</f>
        <v>1001</v>
      </c>
      <c r="K116" s="292" t="str">
        <f xml:space="preserve"> _xll.EPMOlapMemberO("[C_ACCOUNT].[PARENTH1].[A_1900310]","","A_1900310","","000")</f>
        <v>A_1900310</v>
      </c>
      <c r="L116" s="293" t="str">
        <f>_xll.EPMMemberDesc(K116)</f>
        <v>Deferred Tax FIT - Credits</v>
      </c>
      <c r="M116" s="293">
        <v>0</v>
      </c>
      <c r="N116" s="293">
        <v>0</v>
      </c>
      <c r="O116" s="293">
        <v>0</v>
      </c>
      <c r="P116" s="293">
        <v>254427123.08000001</v>
      </c>
      <c r="Q116" s="293">
        <v>254427123.08000001</v>
      </c>
      <c r="R116" s="293">
        <v>254552123.08000001</v>
      </c>
      <c r="S116" s="293">
        <v>254552123.08000001</v>
      </c>
      <c r="T116" s="293">
        <v>254552123.08000001</v>
      </c>
      <c r="U116" s="293">
        <v>254677123.08000001</v>
      </c>
      <c r="V116" s="293">
        <v>254677123.08000001</v>
      </c>
      <c r="W116" s="293">
        <v>254677123.08000001</v>
      </c>
      <c r="X116" s="293">
        <v>254802123.08000001</v>
      </c>
      <c r="Y116" s="293">
        <v>254802123.08000001</v>
      </c>
      <c r="Z116" s="293">
        <v>299980987.33999997</v>
      </c>
      <c r="AA116" s="293">
        <v>300105987.33999997</v>
      </c>
      <c r="AB116" s="293">
        <v>300105987.33999997</v>
      </c>
    </row>
    <row r="117" spans="10:28" ht="15" customHeight="1" x14ac:dyDescent="0.25">
      <c r="J117" s="291" t="str">
        <f xml:space="preserve"> _xll.EPMOlapMemberO("[COSTCENTER].[PARENTH1].[1001]","","1001","","000")</f>
        <v>1001</v>
      </c>
      <c r="K117" s="292" t="str">
        <f xml:space="preserve"> _xll.EPMOlapMemberO("[C_ACCOUNT].[PARENTH1].[A_1900400]","","A_1900400","","000")</f>
        <v>A_1900400</v>
      </c>
      <c r="L117" s="293" t="str">
        <f>_xll.EPMMemberDesc(K117)</f>
        <v>Deferred Tax Asset - State</v>
      </c>
      <c r="M117" s="293">
        <v>0</v>
      </c>
      <c r="N117" s="293">
        <v>0</v>
      </c>
      <c r="O117" s="293">
        <v>0</v>
      </c>
      <c r="P117" s="293">
        <v>20031019.219999999</v>
      </c>
      <c r="Q117" s="293">
        <v>19273083.809999999</v>
      </c>
      <c r="R117" s="293">
        <v>18824785.199999999</v>
      </c>
      <c r="S117" s="293">
        <v>18489276.050000001</v>
      </c>
      <c r="T117" s="293">
        <v>18278673.539999999</v>
      </c>
      <c r="U117" s="293">
        <v>18194003.399999999</v>
      </c>
      <c r="V117" s="293">
        <v>18190858.030000001</v>
      </c>
      <c r="W117" s="293">
        <v>18217538.84</v>
      </c>
      <c r="X117" s="293">
        <v>18205515.449999999</v>
      </c>
      <c r="Y117" s="293">
        <v>18036899.32</v>
      </c>
      <c r="Z117" s="293">
        <v>17688704.18</v>
      </c>
      <c r="AA117" s="293">
        <v>17274789.190000001</v>
      </c>
      <c r="AB117" s="293">
        <v>17274789.190000001</v>
      </c>
    </row>
    <row r="118" spans="10:28" ht="15" customHeight="1" x14ac:dyDescent="0.25">
      <c r="J118" s="291" t="str">
        <f xml:space="preserve"> _xll.EPMOlapMemberO("[COSTCENTER].[PARENTH1].[1001]","","1001","","000")</f>
        <v>1001</v>
      </c>
      <c r="K118" s="292" t="str">
        <f xml:space="preserve"> _xll.EPMOlapMemberO("[C_ACCOUNT].[PARENTH1].[A_1900403]","","A_1900403","","000")</f>
        <v>A_1900403</v>
      </c>
      <c r="L118" s="293" t="str">
        <f>_xll.EPMMemberDesc(K118)</f>
        <v>DTA Separate Company - State</v>
      </c>
      <c r="M118" s="293">
        <v>0</v>
      </c>
      <c r="N118" s="293">
        <v>0</v>
      </c>
      <c r="O118" s="293">
        <v>0</v>
      </c>
      <c r="P118" s="293">
        <v>8385261.21</v>
      </c>
      <c r="Q118" s="293">
        <v>11165668.99</v>
      </c>
      <c r="R118" s="293">
        <v>12311609.34</v>
      </c>
      <c r="S118" s="293">
        <v>12862103.43</v>
      </c>
      <c r="T118" s="293">
        <v>12753192.710000001</v>
      </c>
      <c r="U118" s="293">
        <v>11979462.57</v>
      </c>
      <c r="V118" s="293">
        <v>10669226.58</v>
      </c>
      <c r="W118" s="293">
        <v>9307338.75</v>
      </c>
      <c r="X118" s="293">
        <v>8149632.9900000002</v>
      </c>
      <c r="Y118" s="293">
        <v>7794830.4000000004</v>
      </c>
      <c r="Z118" s="293">
        <v>8414372.1099999994</v>
      </c>
      <c r="AA118" s="293">
        <v>9380700.2100000009</v>
      </c>
      <c r="AB118" s="293">
        <v>9380700.2100000009</v>
      </c>
    </row>
    <row r="119" spans="10:28" ht="15" customHeight="1" x14ac:dyDescent="0.25">
      <c r="J119" s="291" t="str">
        <f xml:space="preserve"> _xll.EPMOlapMemberO("[COSTCENTER].[PARENTH1].[1001]","","1001","","000")</f>
        <v>1001</v>
      </c>
      <c r="K119" s="292" t="str">
        <f xml:space="preserve"> _xll.EPMOlapMemberO("[C_ACCOUNT].[PARENTH1].[A_1900405]","","A_1900405","","000")</f>
        <v>A_1900405</v>
      </c>
      <c r="L119" s="293" t="str">
        <f>_xll.EPMMemberDesc(K119)</f>
        <v>Deferred Tax Asset - State Non Utility</v>
      </c>
      <c r="M119" s="293">
        <v>0</v>
      </c>
      <c r="N119" s="293">
        <v>0</v>
      </c>
      <c r="O119" s="293">
        <v>0</v>
      </c>
      <c r="P119" s="293">
        <v>879.58</v>
      </c>
      <c r="Q119" s="293">
        <v>879.58</v>
      </c>
      <c r="R119" s="293">
        <v>879.58</v>
      </c>
      <c r="S119" s="293">
        <v>879.58</v>
      </c>
      <c r="T119" s="293">
        <v>879.58</v>
      </c>
      <c r="U119" s="293">
        <v>879.58</v>
      </c>
      <c r="V119" s="293">
        <v>879.58</v>
      </c>
      <c r="W119" s="293">
        <v>879.58</v>
      </c>
      <c r="X119" s="293">
        <v>879.58</v>
      </c>
      <c r="Y119" s="293">
        <v>879.58</v>
      </c>
      <c r="Z119" s="293">
        <v>879.58</v>
      </c>
      <c r="AA119" s="293">
        <v>879.58</v>
      </c>
      <c r="AB119" s="293">
        <v>879.58</v>
      </c>
    </row>
    <row r="120" spans="10:28" ht="15" customHeight="1" x14ac:dyDescent="0.25">
      <c r="J120" s="291" t="str">
        <f xml:space="preserve"> _xll.EPMOlapMemberO("[COSTCENTER].[PARENTH1].[1001]","","1001","","000")</f>
        <v>1001</v>
      </c>
      <c r="K120" s="292" t="str">
        <f xml:space="preserve"> _xll.EPMOlapMemberO("[C_ACCOUNT].[PARENTH1].[A_1900406]","","A_1900406","","000")</f>
        <v>A_1900406</v>
      </c>
      <c r="L120" s="293" t="str">
        <f>_xll.EPMMemberDesc(K120)</f>
        <v>Deferred Tax SIT - FAS 133</v>
      </c>
      <c r="M120" s="293">
        <v>0</v>
      </c>
      <c r="N120" s="293">
        <v>0</v>
      </c>
      <c r="O120" s="293">
        <v>0</v>
      </c>
      <c r="P120" s="293">
        <v>0.2</v>
      </c>
      <c r="Q120" s="293">
        <v>0.2</v>
      </c>
      <c r="R120" s="293">
        <v>0.2</v>
      </c>
      <c r="S120" s="293">
        <v>0.2</v>
      </c>
      <c r="T120" s="293">
        <v>0.2</v>
      </c>
      <c r="U120" s="293">
        <v>0.2</v>
      </c>
      <c r="V120" s="293">
        <v>0.2</v>
      </c>
      <c r="W120" s="293">
        <v>0.2</v>
      </c>
      <c r="X120" s="293">
        <v>0.2</v>
      </c>
      <c r="Y120" s="293">
        <v>0.2</v>
      </c>
      <c r="Z120" s="293">
        <v>0.2</v>
      </c>
      <c r="AA120" s="293">
        <v>0.2</v>
      </c>
      <c r="AB120" s="293">
        <v>0.2</v>
      </c>
    </row>
    <row r="121" spans="10:28" ht="15" customHeight="1" x14ac:dyDescent="0.25">
      <c r="J121" s="291" t="str">
        <f xml:space="preserve"> _xll.EPMOlapMemberO("[COSTCENTER].[PARENTH1].[1001]","","1001","","000")</f>
        <v>1001</v>
      </c>
      <c r="K121" s="292" t="str">
        <f xml:space="preserve"> _xll.EPMOlapMemberO("[C_ACCOUNT].[PARENTH1].[A_1900407]","","A_1900407","","000")</f>
        <v>A_1900407</v>
      </c>
      <c r="L121" s="293" t="str">
        <f>_xll.EPMMemberDesc(K121)</f>
        <v>Deferred Tax SIT - FAS 133 Interest</v>
      </c>
      <c r="M121" s="293">
        <v>0</v>
      </c>
      <c r="N121" s="293">
        <v>0</v>
      </c>
      <c r="O121" s="293">
        <v>0</v>
      </c>
      <c r="P121" s="293">
        <v>94123.580000100003</v>
      </c>
      <c r="Q121" s="293">
        <v>93674.290000099994</v>
      </c>
      <c r="R121" s="293">
        <v>93224.990000100006</v>
      </c>
      <c r="S121" s="293">
        <v>92775.690000100003</v>
      </c>
      <c r="T121" s="293">
        <v>92326.400000099995</v>
      </c>
      <c r="U121" s="293">
        <v>91877.100000100007</v>
      </c>
      <c r="V121" s="293">
        <v>91427.800000100004</v>
      </c>
      <c r="W121" s="293">
        <v>90978.510000099996</v>
      </c>
      <c r="X121" s="293">
        <v>90529.210000100007</v>
      </c>
      <c r="Y121" s="293">
        <v>90079.910000200005</v>
      </c>
      <c r="Z121" s="293">
        <v>89630.620000199997</v>
      </c>
      <c r="AA121" s="293">
        <v>89181.320000199994</v>
      </c>
      <c r="AB121" s="293">
        <v>89181.320000199994</v>
      </c>
    </row>
    <row r="122" spans="10:28" ht="15" customHeight="1" x14ac:dyDescent="0.25">
      <c r="J122" s="291" t="str">
        <f xml:space="preserve"> _xll.EPMOlapMemberO("[COSTCENTER].[PARENTH1].[1001]","","1001","","000")</f>
        <v>1001</v>
      </c>
      <c r="K122" s="292" t="str">
        <f xml:space="preserve"> _xll.EPMOlapMemberO("[C_ACCOUNT].[PARENTH1].[A_1900408]","","A_1900408","","000")</f>
        <v>A_1900408</v>
      </c>
      <c r="L122" s="293" t="str">
        <f>_xll.EPMMemberDesc(K122)</f>
        <v>Deferred Tax SIT - FAS 158</v>
      </c>
      <c r="M122" s="293">
        <v>0</v>
      </c>
      <c r="N122" s="293">
        <v>0</v>
      </c>
      <c r="O122" s="293">
        <v>0</v>
      </c>
      <c r="P122" s="293">
        <v>14191559.15</v>
      </c>
      <c r="Q122" s="293">
        <v>14191559.15</v>
      </c>
      <c r="R122" s="293">
        <v>14191559.15</v>
      </c>
      <c r="S122" s="293">
        <v>14191559.15</v>
      </c>
      <c r="T122" s="293">
        <v>14191559.15</v>
      </c>
      <c r="U122" s="293">
        <v>14191559.15</v>
      </c>
      <c r="V122" s="293">
        <v>14191559.15</v>
      </c>
      <c r="W122" s="293">
        <v>14191559.15</v>
      </c>
      <c r="X122" s="293">
        <v>14191559.15</v>
      </c>
      <c r="Y122" s="293">
        <v>14191559.15</v>
      </c>
      <c r="Z122" s="293">
        <v>14191559.15</v>
      </c>
      <c r="AA122" s="293">
        <v>14191559.15</v>
      </c>
      <c r="AB122" s="293">
        <v>14191559.15</v>
      </c>
    </row>
    <row r="123" spans="10:28" ht="15" customHeight="1" x14ac:dyDescent="0.2">
      <c r="J123" s="286" t="str">
        <f xml:space="preserve"> _xll.EPMOlapMemberO("[COSTCENTER].[PARENTH1].[1001]","","1001","","000")</f>
        <v>1001</v>
      </c>
      <c r="K123" s="290" t="str">
        <f xml:space="preserve"> _xll.EPMOlapMemberO("[C_ACCOUNT].[PARENTH1].[LT_REG_AST]","","LT_REG_AST","","000")</f>
        <v>LT_REG_AST</v>
      </c>
      <c r="L123" s="286" t="str">
        <f>_xll.EPMMemberDesc(K123)</f>
        <v>Long-term regulatory assets</v>
      </c>
      <c r="M123" s="287">
        <v>0</v>
      </c>
      <c r="N123" s="287">
        <v>0</v>
      </c>
      <c r="O123" s="287">
        <v>0</v>
      </c>
      <c r="P123" s="287">
        <v>367859566.30979538</v>
      </c>
      <c r="Q123" s="287">
        <v>371275247.00399429</v>
      </c>
      <c r="R123" s="287">
        <v>372460368.22491431</v>
      </c>
      <c r="S123" s="287">
        <v>373679591.6252389</v>
      </c>
      <c r="T123" s="287">
        <v>374937925.3510651</v>
      </c>
      <c r="U123" s="287">
        <v>376271502.09202039</v>
      </c>
      <c r="V123" s="287">
        <v>377660649.2513805</v>
      </c>
      <c r="W123" s="287">
        <v>379086387.95618743</v>
      </c>
      <c r="X123" s="287">
        <v>380552541.67736828</v>
      </c>
      <c r="Y123" s="287">
        <v>382045160.86985511</v>
      </c>
      <c r="Z123" s="287">
        <v>390953465.06270438</v>
      </c>
      <c r="AA123" s="287">
        <v>391846588.00921792</v>
      </c>
      <c r="AB123" s="287">
        <v>391846588.00921792</v>
      </c>
    </row>
    <row r="124" spans="10:28" ht="15" customHeight="1" x14ac:dyDescent="0.2">
      <c r="J124" s="286" t="str">
        <f xml:space="preserve"> _xll.EPMOlapMemberO("[COSTCENTER].[PARENTH1].[1001]","","1001","","000")</f>
        <v>1001</v>
      </c>
      <c r="K124" s="294" t="str">
        <f xml:space="preserve"> _xll.EPMOlapMemberO("[C_ACCOUNT].[PARENTH1].[OTH_REG_AST_LT]","","OTH_REG_AST_LT","","000")</f>
        <v>OTH_REG_AST_LT</v>
      </c>
      <c r="L124" s="286" t="str">
        <f>_xll.EPMMemberDesc(K124)</f>
        <v>Other regulatory assets</v>
      </c>
      <c r="M124" s="287">
        <v>0</v>
      </c>
      <c r="N124" s="287">
        <v>0</v>
      </c>
      <c r="O124" s="287">
        <v>0</v>
      </c>
      <c r="P124" s="287">
        <v>275547569.10979539</v>
      </c>
      <c r="Q124" s="287">
        <v>278351670.96399432</v>
      </c>
      <c r="R124" s="287">
        <v>278887779.35491431</v>
      </c>
      <c r="S124" s="287">
        <v>279424255.96523893</v>
      </c>
      <c r="T124" s="287">
        <v>279964364.63106507</v>
      </c>
      <c r="U124" s="287">
        <v>280520085.0820204</v>
      </c>
      <c r="V124" s="287">
        <v>281075559.9413805</v>
      </c>
      <c r="W124" s="287">
        <v>281630837.9861874</v>
      </c>
      <c r="X124" s="287">
        <v>282186029.01736832</v>
      </c>
      <c r="Y124" s="287">
        <v>282740769.85985512</v>
      </c>
      <c r="Z124" s="287">
        <v>283312889.69270438</v>
      </c>
      <c r="AA124" s="287">
        <v>283884333.05921787</v>
      </c>
      <c r="AB124" s="287">
        <v>283884333.05921787</v>
      </c>
    </row>
    <row r="125" spans="10:28" ht="15" customHeight="1" x14ac:dyDescent="0.25">
      <c r="J125" s="291" t="str">
        <f xml:space="preserve"> _xll.EPMOlapMemberO("[COSTCENTER].[PARENTH1].[1001]","","1001","","000")</f>
        <v>1001</v>
      </c>
      <c r="K125" s="295" t="str">
        <f xml:space="preserve"> _xll.EPMOlapMemberO("[C_ACCOUNT].[PARENTH1].[A_1823200]","","A_1823200","","000")</f>
        <v>A_1823200</v>
      </c>
      <c r="L125" s="293" t="str">
        <f>_xll.EPMMemberDesc(K125)</f>
        <v>Oth Reg Asset-FAS 158 Benefit Non-Current</v>
      </c>
      <c r="M125" s="293">
        <v>0</v>
      </c>
      <c r="N125" s="293">
        <v>0</v>
      </c>
      <c r="O125" s="293">
        <v>0</v>
      </c>
      <c r="P125" s="293">
        <v>247921685</v>
      </c>
      <c r="Q125" s="293">
        <v>247921685</v>
      </c>
      <c r="R125" s="293">
        <v>247921685</v>
      </c>
      <c r="S125" s="293">
        <v>247921685</v>
      </c>
      <c r="T125" s="293">
        <v>247921685</v>
      </c>
      <c r="U125" s="293">
        <v>247921685</v>
      </c>
      <c r="V125" s="293">
        <v>247921685</v>
      </c>
      <c r="W125" s="293">
        <v>247921685</v>
      </c>
      <c r="X125" s="293">
        <v>247921685</v>
      </c>
      <c r="Y125" s="293">
        <v>247921685</v>
      </c>
      <c r="Z125" s="293">
        <v>247921685</v>
      </c>
      <c r="AA125" s="293">
        <v>247921685</v>
      </c>
      <c r="AB125" s="293">
        <v>247921685</v>
      </c>
    </row>
    <row r="126" spans="10:28" ht="15" customHeight="1" x14ac:dyDescent="0.25">
      <c r="J126" s="291" t="str">
        <f xml:space="preserve"> _xll.EPMOlapMemberO("[COSTCENTER].[PARENTH1].[1001]","","1001","","000")</f>
        <v>1001</v>
      </c>
      <c r="K126" s="295" t="str">
        <f xml:space="preserve"> _xll.EPMOlapMemberO("[C_ACCOUNT].[PARENTH1].[A_1823204]","","A_1823204","","000")</f>
        <v>A_1823204</v>
      </c>
      <c r="L126" s="293" t="str">
        <f>_xll.EPMMemberDesc(K126)</f>
        <v>Oth Reg Asset-ARO Asset Non-Current</v>
      </c>
      <c r="M126" s="293">
        <v>0</v>
      </c>
      <c r="N126" s="293">
        <v>0</v>
      </c>
      <c r="O126" s="293">
        <v>0</v>
      </c>
      <c r="P126" s="293">
        <v>19555085.689795401</v>
      </c>
      <c r="Q126" s="293">
        <v>20179111.713994302</v>
      </c>
      <c r="R126" s="293">
        <v>20804074.274914298</v>
      </c>
      <c r="S126" s="293">
        <v>21429978.055238899</v>
      </c>
      <c r="T126" s="293">
        <v>22056827.761065099</v>
      </c>
      <c r="U126" s="293">
        <v>22684628.122020401</v>
      </c>
      <c r="V126" s="293">
        <v>23313383.8913805</v>
      </c>
      <c r="W126" s="293">
        <v>23943099.846187402</v>
      </c>
      <c r="X126" s="293">
        <v>24573780.787368301</v>
      </c>
      <c r="Y126" s="293">
        <v>25205431.5398551</v>
      </c>
      <c r="Z126" s="293">
        <v>25838056.9527044</v>
      </c>
      <c r="AA126" s="293">
        <v>26471661.8992179</v>
      </c>
      <c r="AB126" s="293">
        <v>26471661.8992179</v>
      </c>
    </row>
    <row r="127" spans="10:28" ht="15" customHeight="1" x14ac:dyDescent="0.25">
      <c r="J127" s="291" t="str">
        <f xml:space="preserve"> _xll.EPMOlapMemberO("[COSTCENTER].[PARENTH1].[1001]","","1001","","000")</f>
        <v>1001</v>
      </c>
      <c r="K127" s="295" t="str">
        <f xml:space="preserve"> _xll.EPMOlapMemberO("[C_ACCOUNT].[PARENTH1].[A_1823322]","","A_1823322","","000")</f>
        <v>A_1823322</v>
      </c>
      <c r="L127" s="293" t="str">
        <f>_xll.EPMMemberDesc(K127)</f>
        <v>Oth Reg Asset-Price Responsive Load Management</v>
      </c>
      <c r="M127" s="293">
        <v>0</v>
      </c>
      <c r="N127" s="293">
        <v>0</v>
      </c>
      <c r="O127" s="293">
        <v>0</v>
      </c>
      <c r="P127" s="293">
        <v>2147994</v>
      </c>
      <c r="Q127" s="293">
        <v>2211546</v>
      </c>
      <c r="R127" s="293">
        <v>2274918</v>
      </c>
      <c r="S127" s="293">
        <v>2337717</v>
      </c>
      <c r="T127" s="293">
        <v>2399270</v>
      </c>
      <c r="U127" s="293">
        <v>2459795</v>
      </c>
      <c r="V127" s="293">
        <v>2519119</v>
      </c>
      <c r="W127" s="293">
        <v>2577286</v>
      </c>
      <c r="X127" s="293">
        <v>2634401</v>
      </c>
      <c r="Y127" s="293">
        <v>2690096</v>
      </c>
      <c r="Z127" s="293">
        <v>2744541</v>
      </c>
      <c r="AA127" s="293">
        <v>2797330</v>
      </c>
      <c r="AB127" s="293">
        <v>2797330</v>
      </c>
    </row>
    <row r="128" spans="10:28" ht="15" customHeight="1" x14ac:dyDescent="0.25">
      <c r="J128" s="291" t="str">
        <f xml:space="preserve"> _xll.EPMOlapMemberO("[COSTCENTER].[PARENTH1].[1001]","","1001","","000")</f>
        <v>1001</v>
      </c>
      <c r="K128" s="295" t="str">
        <f xml:space="preserve"> _xll.EPMOlapMemberO("[C_ACCOUNT].[PARENTH1].[A_1823324]","","A_1823324","","000")</f>
        <v>A_1823324</v>
      </c>
      <c r="L128" s="293" t="str">
        <f>_xll.EPMMemberDesc(K128)</f>
        <v>Oth Reg Asset-Energy Education Awareness/Outreach</v>
      </c>
      <c r="M128" s="293">
        <v>0</v>
      </c>
      <c r="N128" s="293">
        <v>0</v>
      </c>
      <c r="O128" s="293">
        <v>0</v>
      </c>
      <c r="P128" s="293">
        <v>22916</v>
      </c>
      <c r="Q128" s="293">
        <v>22187</v>
      </c>
      <c r="R128" s="293">
        <v>21458</v>
      </c>
      <c r="S128" s="293">
        <v>20729</v>
      </c>
      <c r="T128" s="293">
        <v>20000</v>
      </c>
      <c r="U128" s="293">
        <v>19271</v>
      </c>
      <c r="V128" s="293">
        <v>18542</v>
      </c>
      <c r="W128" s="293">
        <v>17813</v>
      </c>
      <c r="X128" s="293">
        <v>17084</v>
      </c>
      <c r="Y128" s="293">
        <v>16355</v>
      </c>
      <c r="Z128" s="293">
        <v>15626</v>
      </c>
      <c r="AA128" s="293">
        <v>14897</v>
      </c>
      <c r="AB128" s="293">
        <v>14897</v>
      </c>
    </row>
    <row r="129" spans="10:28" ht="15" customHeight="1" x14ac:dyDescent="0.25">
      <c r="J129" s="291" t="str">
        <f xml:space="preserve"> _xll.EPMOlapMemberO("[COSTCENTER].[PARENTH1].[1001]","","1001","","000")</f>
        <v>1001</v>
      </c>
      <c r="K129" s="295" t="str">
        <f xml:space="preserve"> _xll.EPMOlapMemberO("[C_ACCOUNT].[PARENTH1].[A_1890200]","","A_1890200","","000")</f>
        <v>A_1890200</v>
      </c>
      <c r="L129" s="293" t="str">
        <f>_xll.EPMMemberDesc(K129)</f>
        <v>Unamortized Loss on Reacquired Debt</v>
      </c>
      <c r="M129" s="293">
        <v>0</v>
      </c>
      <c r="N129" s="293">
        <v>0</v>
      </c>
      <c r="O129" s="293">
        <v>0</v>
      </c>
      <c r="P129" s="293">
        <v>3135830.42</v>
      </c>
      <c r="Q129" s="293">
        <v>3070091.25</v>
      </c>
      <c r="R129" s="293">
        <v>3004352.08</v>
      </c>
      <c r="S129" s="293">
        <v>2938612.91</v>
      </c>
      <c r="T129" s="293">
        <v>2876805.87</v>
      </c>
      <c r="U129" s="293">
        <v>2830687.96</v>
      </c>
      <c r="V129" s="293">
        <v>2784570.05</v>
      </c>
      <c r="W129" s="293">
        <v>2738452.14</v>
      </c>
      <c r="X129" s="293">
        <v>2692334.23</v>
      </c>
      <c r="Y129" s="293">
        <v>2646216.3199999998</v>
      </c>
      <c r="Z129" s="293">
        <v>2617752.7400000002</v>
      </c>
      <c r="AA129" s="293">
        <v>2589289.16</v>
      </c>
      <c r="AB129" s="293">
        <v>2589289.16</v>
      </c>
    </row>
    <row r="130" spans="10:28" ht="15" customHeight="1" x14ac:dyDescent="0.25">
      <c r="J130" s="291" t="str">
        <f xml:space="preserve"> _xll.EPMOlapMemberO("[COSTCENTER].[PARENTH1].[1001]","","1001","","000")</f>
        <v>1001</v>
      </c>
      <c r="K130" s="295" t="str">
        <f xml:space="preserve"> _xll.EPMOlapMemberO("[C_ACCOUNT].[PARENTH1].[A_1823326]","","A_1823326","","000")</f>
        <v>A_1823326</v>
      </c>
      <c r="L130" s="293" t="str">
        <f>_xll.EPMMemberDesc(K130)</f>
        <v>Oth Reg Asset-Integrated Renewable Energy System</v>
      </c>
      <c r="M130" s="293">
        <v>0</v>
      </c>
      <c r="N130" s="293">
        <v>0</v>
      </c>
      <c r="O130" s="293">
        <v>0</v>
      </c>
      <c r="P130" s="293">
        <v>2764058</v>
      </c>
      <c r="Q130" s="293">
        <v>4947050</v>
      </c>
      <c r="R130" s="293">
        <v>4861292</v>
      </c>
      <c r="S130" s="293">
        <v>4775534</v>
      </c>
      <c r="T130" s="293">
        <v>4689776</v>
      </c>
      <c r="U130" s="293">
        <v>4604018</v>
      </c>
      <c r="V130" s="293">
        <v>4518260</v>
      </c>
      <c r="W130" s="293">
        <v>4432502</v>
      </c>
      <c r="X130" s="293">
        <v>4346744</v>
      </c>
      <c r="Y130" s="293">
        <v>4260986</v>
      </c>
      <c r="Z130" s="293">
        <v>4175228</v>
      </c>
      <c r="AA130" s="293">
        <v>4089470</v>
      </c>
      <c r="AB130" s="293">
        <v>4089470</v>
      </c>
    </row>
    <row r="131" spans="10:28" ht="15" customHeight="1" x14ac:dyDescent="0.2">
      <c r="J131" s="286" t="str">
        <f xml:space="preserve"> _xll.EPMOlapMemberO("[COSTCENTER].[PARENTH1].[1001]","","1001","","000")</f>
        <v>1001</v>
      </c>
      <c r="K131" s="294" t="str">
        <f xml:space="preserve"> _xll.EPMOlapMemberO("[C_ACCOUNT].[PARENTH1].[REG_TAX_AST]","","REG_TAX_AST","","000")</f>
        <v>REG_TAX_AST</v>
      </c>
      <c r="L131" s="286" t="str">
        <f>_xll.EPMMemberDesc(K131)</f>
        <v>Regulatory tax asset</v>
      </c>
      <c r="M131" s="287">
        <v>0</v>
      </c>
      <c r="N131" s="287">
        <v>0</v>
      </c>
      <c r="O131" s="287">
        <v>0</v>
      </c>
      <c r="P131" s="287">
        <v>92311997.200000003</v>
      </c>
      <c r="Q131" s="287">
        <v>92923576.040000007</v>
      </c>
      <c r="R131" s="287">
        <v>93572588.870000005</v>
      </c>
      <c r="S131" s="287">
        <v>94255335.659999996</v>
      </c>
      <c r="T131" s="287">
        <v>94973560.719999999</v>
      </c>
      <c r="U131" s="287">
        <v>95751417.010000005</v>
      </c>
      <c r="V131" s="287">
        <v>96585089.310000002</v>
      </c>
      <c r="W131" s="287">
        <v>97455549.969999999</v>
      </c>
      <c r="X131" s="287">
        <v>98366512.659999996</v>
      </c>
      <c r="Y131" s="287">
        <v>99304391.010000005</v>
      </c>
      <c r="Z131" s="287">
        <v>107640575.37</v>
      </c>
      <c r="AA131" s="287">
        <v>107962254.95</v>
      </c>
      <c r="AB131" s="287">
        <v>107962254.95</v>
      </c>
    </row>
    <row r="132" spans="10:28" ht="15" customHeight="1" x14ac:dyDescent="0.25">
      <c r="J132" s="291" t="str">
        <f xml:space="preserve"> _xll.EPMOlapMemberO("[COSTCENTER].[PARENTH1].[1001]","","1001","","000")</f>
        <v>1001</v>
      </c>
      <c r="K132" s="295" t="str">
        <f xml:space="preserve"> _xll.EPMOlapMemberO("[C_ACCOUNT].[PARENTH1].[A_1823610]","","A_1823610","","000")</f>
        <v>A_1823610</v>
      </c>
      <c r="L132" s="293" t="str">
        <f>_xll.EPMMemberDesc(K132)</f>
        <v>Oth Reg Asset-FAS 109 Income Tax</v>
      </c>
      <c r="M132" s="293">
        <v>0</v>
      </c>
      <c r="N132" s="293">
        <v>0</v>
      </c>
      <c r="O132" s="293">
        <v>0</v>
      </c>
      <c r="P132" s="293">
        <v>90350404.989999995</v>
      </c>
      <c r="Q132" s="293">
        <v>90984141.329999998</v>
      </c>
      <c r="R132" s="293">
        <v>91655311.650000006</v>
      </c>
      <c r="S132" s="293">
        <v>92360215.950000003</v>
      </c>
      <c r="T132" s="293">
        <v>93100598.519999996</v>
      </c>
      <c r="U132" s="293">
        <v>93900612.310000002</v>
      </c>
      <c r="V132" s="293">
        <v>94756442.129999995</v>
      </c>
      <c r="W132" s="293">
        <v>95649060.280000001</v>
      </c>
      <c r="X132" s="293">
        <v>96582180.480000004</v>
      </c>
      <c r="Y132" s="293">
        <v>97542216.329999998</v>
      </c>
      <c r="Z132" s="293">
        <v>105900558.19</v>
      </c>
      <c r="AA132" s="293">
        <v>106244395.27</v>
      </c>
      <c r="AB132" s="293">
        <v>106244395.27</v>
      </c>
    </row>
    <row r="133" spans="10:28" ht="15" customHeight="1" x14ac:dyDescent="0.25">
      <c r="J133" s="291" t="str">
        <f xml:space="preserve"> _xll.EPMOlapMemberO("[COSTCENTER].[PARENTH1].[1001]","","1001","","000")</f>
        <v>1001</v>
      </c>
      <c r="K133" s="295" t="str">
        <f xml:space="preserve"> _xll.EPMOlapMemberO("[C_ACCOUNT].[PARENTH1].[A_1823611]","","A_1823611","","000")</f>
        <v>A_1823611</v>
      </c>
      <c r="L133" s="293" t="str">
        <f>_xll.EPMMemberDesc(K133)</f>
        <v>Oth Reg Asset-Medicare Part D</v>
      </c>
      <c r="M133" s="293">
        <v>0</v>
      </c>
      <c r="N133" s="293">
        <v>0</v>
      </c>
      <c r="O133" s="293">
        <v>0</v>
      </c>
      <c r="P133" s="293">
        <v>1961592.21</v>
      </c>
      <c r="Q133" s="293">
        <v>1939434.71</v>
      </c>
      <c r="R133" s="293">
        <v>1917277.22</v>
      </c>
      <c r="S133" s="293">
        <v>1895119.71</v>
      </c>
      <c r="T133" s="293">
        <v>1872962.2</v>
      </c>
      <c r="U133" s="293">
        <v>1850804.7</v>
      </c>
      <c r="V133" s="293">
        <v>1828647.18</v>
      </c>
      <c r="W133" s="293">
        <v>1806489.69</v>
      </c>
      <c r="X133" s="293">
        <v>1784332.18</v>
      </c>
      <c r="Y133" s="293">
        <v>1762174.68</v>
      </c>
      <c r="Z133" s="293">
        <v>1740017.18</v>
      </c>
      <c r="AA133" s="293">
        <v>1717859.68</v>
      </c>
      <c r="AB133" s="293">
        <v>1717859.68</v>
      </c>
    </row>
    <row r="134" spans="10:28" ht="15" customHeight="1" x14ac:dyDescent="0.2">
      <c r="J134" s="286" t="str">
        <f xml:space="preserve"> _xll.EPMOlapMemberO("[COSTCENTER].[PARENTH1].[1001]","","1001","","000")</f>
        <v>1001</v>
      </c>
      <c r="K134" s="290" t="str">
        <f xml:space="preserve"> _xll.EPMOlapMemberO("[C_ACCOUNT].[PARENTH1].[DEF_CHARG_OTHAST]","","DEF_CHARG_OTHAST","","000")</f>
        <v>DEF_CHARG_OTHAST</v>
      </c>
      <c r="L134" s="286" t="str">
        <f>_xll.EPMMemberDesc(K134)</f>
        <v>Deferred charges and other assets</v>
      </c>
      <c r="M134" s="287">
        <v>0</v>
      </c>
      <c r="N134" s="287">
        <v>0</v>
      </c>
      <c r="O134" s="287">
        <v>0</v>
      </c>
      <c r="P134" s="287">
        <v>47980153.025863998</v>
      </c>
      <c r="Q134" s="287">
        <v>47231571.955863997</v>
      </c>
      <c r="R134" s="287">
        <v>45777110.930863999</v>
      </c>
      <c r="S134" s="287">
        <v>45463848.505864002</v>
      </c>
      <c r="T134" s="287">
        <v>45151664.095863998</v>
      </c>
      <c r="U134" s="287">
        <v>45446113.315863997</v>
      </c>
      <c r="V134" s="287">
        <v>45246194.780864</v>
      </c>
      <c r="W134" s="287">
        <v>40975061.860863999</v>
      </c>
      <c r="X134" s="287">
        <v>40462602.508516997</v>
      </c>
      <c r="Y134" s="287">
        <v>40523096.096331999</v>
      </c>
      <c r="Z134" s="287">
        <v>40248778.611157</v>
      </c>
      <c r="AA134" s="287">
        <v>41024057.930431999</v>
      </c>
      <c r="AB134" s="287">
        <v>41024057.930431999</v>
      </c>
    </row>
    <row r="135" spans="10:28" ht="15" customHeight="1" x14ac:dyDescent="0.2">
      <c r="J135" s="286" t="str">
        <f xml:space="preserve"> _xll.EPMOlapMemberO("[COSTCENTER].[PARENTH1].[1001]","","1001","","000")</f>
        <v>1001</v>
      </c>
      <c r="K135" s="294" t="str">
        <f xml:space="preserve"> _xll.EPMOlapMemberO("[C_ACCOUNT].[PARENTH1].[OTH_AST_DEF_CHG]","","OTH_AST_DEF_CHG","","000")</f>
        <v>OTH_AST_DEF_CHG</v>
      </c>
      <c r="L135" s="286" t="str">
        <f>_xll.EPMMemberDesc(K135)</f>
        <v>Other assets</v>
      </c>
      <c r="M135" s="287">
        <v>0</v>
      </c>
      <c r="N135" s="287">
        <v>0</v>
      </c>
      <c r="O135" s="287">
        <v>0</v>
      </c>
      <c r="P135" s="287">
        <v>22127658.305863999</v>
      </c>
      <c r="Q135" s="287">
        <v>21525747.425864</v>
      </c>
      <c r="R135" s="287">
        <v>20218416.040863998</v>
      </c>
      <c r="S135" s="287">
        <v>20052744.165863998</v>
      </c>
      <c r="T135" s="287">
        <v>19888612.645863999</v>
      </c>
      <c r="U135" s="287">
        <v>20331578.545864001</v>
      </c>
      <c r="V135" s="287">
        <v>20280641.940864</v>
      </c>
      <c r="W135" s="287">
        <v>16158960.680864001</v>
      </c>
      <c r="X135" s="287">
        <v>15796424.198517</v>
      </c>
      <c r="Y135" s="287">
        <v>16007313.336332001</v>
      </c>
      <c r="Z135" s="287">
        <v>15870898.671157001</v>
      </c>
      <c r="AA135" s="287">
        <v>16784519.820432</v>
      </c>
      <c r="AB135" s="287">
        <v>16784519.820432</v>
      </c>
    </row>
    <row r="136" spans="10:28" ht="15" customHeight="1" x14ac:dyDescent="0.25">
      <c r="J136" s="291" t="str">
        <f xml:space="preserve"> _xll.EPMOlapMemberO("[COSTCENTER].[PARENTH1].[1001]","","1001","","000")</f>
        <v>1001</v>
      </c>
      <c r="K136" s="295" t="str">
        <f xml:space="preserve"> _xll.EPMOlapMemberO("[C_ACCOUNT].[PARENTH1].[A_1830000]","","A_1830000","","000")</f>
        <v>A_1830000</v>
      </c>
      <c r="L136" s="293" t="str">
        <f>_xll.EPMMemberDesc(K136)</f>
        <v>Preliminary Survey and Investigation Charges</v>
      </c>
      <c r="M136" s="293">
        <v>0</v>
      </c>
      <c r="N136" s="293">
        <v>0</v>
      </c>
      <c r="O136" s="293">
        <v>0</v>
      </c>
      <c r="P136" s="293">
        <v>4323226.76</v>
      </c>
      <c r="Q136" s="293">
        <v>4378226.76</v>
      </c>
      <c r="R136" s="293">
        <v>2967226.76</v>
      </c>
      <c r="S136" s="293">
        <v>2967226.76</v>
      </c>
      <c r="T136" s="293">
        <v>2972226.76</v>
      </c>
      <c r="U136" s="293">
        <v>3447226.76</v>
      </c>
      <c r="V136" s="293">
        <v>3447226.76</v>
      </c>
      <c r="W136" s="293">
        <v>3457226.76</v>
      </c>
      <c r="X136" s="293">
        <v>3457226.76</v>
      </c>
      <c r="Y136" s="293">
        <v>3467226.76</v>
      </c>
      <c r="Z136" s="293">
        <v>3467226.76</v>
      </c>
      <c r="AA136" s="293">
        <v>3492226.76</v>
      </c>
      <c r="AB136" s="293">
        <v>3492226.76</v>
      </c>
    </row>
    <row r="137" spans="10:28" ht="15" customHeight="1" x14ac:dyDescent="0.25">
      <c r="J137" s="291" t="str">
        <f xml:space="preserve"> _xll.EPMOlapMemberO("[COSTCENTER].[PARENTH1].[1001]","","1001","","000")</f>
        <v>1001</v>
      </c>
      <c r="K137" s="295" t="str">
        <f xml:space="preserve"> _xll.EPMOlapMemberO("[C_ACCOUNT].[PARENTH1].[A_1860020]","","A_1860020","","000")</f>
        <v>A_1860020</v>
      </c>
      <c r="L137" s="293" t="str">
        <f>_xll.EPMMemberDesc(K137)</f>
        <v>Deferred Debits - SERP Trust</v>
      </c>
      <c r="M137" s="293">
        <v>0</v>
      </c>
      <c r="N137" s="293">
        <v>0</v>
      </c>
      <c r="O137" s="293">
        <v>0</v>
      </c>
      <c r="P137" s="293">
        <v>6965000</v>
      </c>
      <c r="Q137" s="293">
        <v>6920000</v>
      </c>
      <c r="R137" s="293">
        <v>6875000</v>
      </c>
      <c r="S137" s="293">
        <v>6830000</v>
      </c>
      <c r="T137" s="293">
        <v>6785000</v>
      </c>
      <c r="U137" s="293">
        <v>6740000</v>
      </c>
      <c r="V137" s="293">
        <v>6695000</v>
      </c>
      <c r="W137" s="293">
        <v>6650000</v>
      </c>
      <c r="X137" s="293">
        <v>6605000</v>
      </c>
      <c r="Y137" s="293">
        <v>6560000</v>
      </c>
      <c r="Z137" s="293">
        <v>6515000</v>
      </c>
      <c r="AA137" s="293">
        <v>6470000</v>
      </c>
      <c r="AB137" s="293">
        <v>6470000</v>
      </c>
    </row>
    <row r="138" spans="10:28" ht="15" customHeight="1" x14ac:dyDescent="0.25">
      <c r="J138" s="291" t="str">
        <f xml:space="preserve"> _xll.EPMOlapMemberO("[COSTCENTER].[PARENTH1].[1001]","","1001","","000")</f>
        <v>1001</v>
      </c>
      <c r="K138" s="295" t="str">
        <f xml:space="preserve"> _xll.EPMOlapMemberO("[C_ACCOUNT].[PARENTH1].[A_1860800]","","A_1860800","","000")</f>
        <v>A_1860800</v>
      </c>
      <c r="L138" s="293" t="str">
        <f>_xll.EPMMemberDesc(K138)</f>
        <v>Deferred Debits - Other</v>
      </c>
      <c r="M138" s="293">
        <v>0</v>
      </c>
      <c r="N138" s="293">
        <v>0</v>
      </c>
      <c r="O138" s="293">
        <v>0</v>
      </c>
      <c r="P138" s="293">
        <v>9799386.5458640009</v>
      </c>
      <c r="Q138" s="293">
        <v>9187475.6658640001</v>
      </c>
      <c r="R138" s="293">
        <v>9336144.2808640003</v>
      </c>
      <c r="S138" s="293">
        <v>9215472.4058640003</v>
      </c>
      <c r="T138" s="293">
        <v>9091340.8858640008</v>
      </c>
      <c r="U138" s="293">
        <v>9104306.7858639993</v>
      </c>
      <c r="V138" s="293">
        <v>9098370.1808640007</v>
      </c>
      <c r="W138" s="293">
        <v>5011688.920864</v>
      </c>
      <c r="X138" s="293">
        <v>4694152.4385169996</v>
      </c>
      <c r="Y138" s="293">
        <v>4940041.5763320001</v>
      </c>
      <c r="Z138" s="293">
        <v>4848626.9111569999</v>
      </c>
      <c r="AA138" s="293">
        <v>5782248.0604320001</v>
      </c>
      <c r="AB138" s="293">
        <v>5782248.0604320001</v>
      </c>
    </row>
    <row r="139" spans="10:28" ht="15" customHeight="1" x14ac:dyDescent="0.25">
      <c r="J139" s="291" t="str">
        <f xml:space="preserve"> _xll.EPMOlapMemberO("[COSTCENTER].[PARENTH1].[1001]","","1001","","000")</f>
        <v>1001</v>
      </c>
      <c r="K139" s="295" t="str">
        <f xml:space="preserve"> _xll.EPMOlapMemberO("[C_ACCOUNT].[PARENTH1].[A_2282210]","","A_2282210","","000")</f>
        <v>A_2282210</v>
      </c>
      <c r="L139" s="293" t="str">
        <f>_xll.EPMMemberDesc(K139)</f>
        <v>I&amp;D Gen Liab Expected Recoveries - Non-Current</v>
      </c>
      <c r="M139" s="293">
        <v>0</v>
      </c>
      <c r="N139" s="293">
        <v>0</v>
      </c>
      <c r="O139" s="293">
        <v>0</v>
      </c>
      <c r="P139" s="293">
        <v>1040045</v>
      </c>
      <c r="Q139" s="293">
        <v>1040045</v>
      </c>
      <c r="R139" s="293">
        <v>1040045</v>
      </c>
      <c r="S139" s="293">
        <v>1040045</v>
      </c>
      <c r="T139" s="293">
        <v>1040045</v>
      </c>
      <c r="U139" s="293">
        <v>1040045</v>
      </c>
      <c r="V139" s="293">
        <v>1040045</v>
      </c>
      <c r="W139" s="293">
        <v>1040045</v>
      </c>
      <c r="X139" s="293">
        <v>1040045</v>
      </c>
      <c r="Y139" s="293">
        <v>1040045</v>
      </c>
      <c r="Z139" s="293">
        <v>1040045</v>
      </c>
      <c r="AA139" s="293">
        <v>1040045</v>
      </c>
      <c r="AB139" s="293">
        <v>1040045</v>
      </c>
    </row>
    <row r="140" spans="10:28" ht="15" customHeight="1" x14ac:dyDescent="0.2">
      <c r="J140" s="286" t="str">
        <f xml:space="preserve"> _xll.EPMOlapMemberO("[COSTCENTER].[PARENTH1].[1001]","","1001","","000")</f>
        <v>1001</v>
      </c>
      <c r="K140" s="294" t="str">
        <f xml:space="preserve"> _xll.EPMOlapMemberO("[C_ACCOUNT].[PARENTH1].[ROUS_OPT_LEASES]","","ROUS_OPT_LEASES","","000")</f>
        <v>ROUS_OPT_LEASES</v>
      </c>
      <c r="L140" s="286" t="str">
        <f>_xll.EPMMemberDesc(K140)</f>
        <v>Right of Use Assets - Operating Leases</v>
      </c>
      <c r="M140" s="287">
        <v>0</v>
      </c>
      <c r="N140" s="287">
        <v>0</v>
      </c>
      <c r="O140" s="287">
        <v>0</v>
      </c>
      <c r="P140" s="287">
        <v>25852494.719999999</v>
      </c>
      <c r="Q140" s="287">
        <v>25705824.530000001</v>
      </c>
      <c r="R140" s="287">
        <v>25558694.890000001</v>
      </c>
      <c r="S140" s="287">
        <v>25411104.34</v>
      </c>
      <c r="T140" s="287">
        <v>25263051.449999999</v>
      </c>
      <c r="U140" s="287">
        <v>25114534.77</v>
      </c>
      <c r="V140" s="287">
        <v>24965552.84</v>
      </c>
      <c r="W140" s="287">
        <v>24816101.18</v>
      </c>
      <c r="X140" s="287">
        <v>24666178.309999999</v>
      </c>
      <c r="Y140" s="287">
        <v>24515782.760000002</v>
      </c>
      <c r="Z140" s="287">
        <v>24377879.940000001</v>
      </c>
      <c r="AA140" s="287">
        <v>24239538.109999999</v>
      </c>
      <c r="AB140" s="287">
        <v>24239538.109999999</v>
      </c>
    </row>
    <row r="141" spans="10:28" ht="15" customHeight="1" x14ac:dyDescent="0.25">
      <c r="J141" s="291" t="str">
        <f xml:space="preserve"> _xll.EPMOlapMemberO("[COSTCENTER].[PARENTH1].[1001]","","1001","","000")</f>
        <v>1001</v>
      </c>
      <c r="K141" s="295" t="str">
        <f xml:space="preserve"> _xll.EPMOlapMemberO("[C_ACCOUNT].[PARENTH1].[A_1011200]","","A_1011200","","000")</f>
        <v>A_1011200</v>
      </c>
      <c r="L141" s="293" t="str">
        <f>_xll.EPMMemberDesc(K141)</f>
        <v>ROUS_OPT_LEASES</v>
      </c>
      <c r="M141" s="293">
        <v>0</v>
      </c>
      <c r="N141" s="293">
        <v>0</v>
      </c>
      <c r="O141" s="293">
        <v>0</v>
      </c>
      <c r="P141" s="293">
        <v>25852494.719999999</v>
      </c>
      <c r="Q141" s="293">
        <v>25705824.530000001</v>
      </c>
      <c r="R141" s="293">
        <v>25558694.890000001</v>
      </c>
      <c r="S141" s="293">
        <v>25411104.34</v>
      </c>
      <c r="T141" s="293">
        <v>25263051.449999999</v>
      </c>
      <c r="U141" s="293">
        <v>25114534.77</v>
      </c>
      <c r="V141" s="293">
        <v>24965552.84</v>
      </c>
      <c r="W141" s="293">
        <v>24816101.18</v>
      </c>
      <c r="X141" s="293">
        <v>24666178.309999999</v>
      </c>
      <c r="Y141" s="293">
        <v>24515782.760000002</v>
      </c>
      <c r="Z141" s="293">
        <v>24377879.940000001</v>
      </c>
      <c r="AA141" s="293">
        <v>24239538.109999999</v>
      </c>
      <c r="AB141" s="293">
        <v>24239538.109999999</v>
      </c>
    </row>
    <row r="142" spans="10:28" ht="15" customHeight="1" x14ac:dyDescent="0.2">
      <c r="J142" s="286" t="str">
        <f xml:space="preserve"> _xll.EPMOlapMemberO("[COSTCENTER].[PARENTH1].[1001]","","1001","","000")</f>
        <v>1001</v>
      </c>
      <c r="K142" s="288" t="str">
        <f xml:space="preserve"> _xll.EPMOlapMemberO("[C_ACCOUNT].[PARENTH1].[LIAB_AND_CAP]","","LIAB_AND_CAP","","000")</f>
        <v>LIAB_AND_CAP</v>
      </c>
      <c r="L142" s="286" t="str">
        <f>_xll.EPMMemberDesc(K142)</f>
        <v>LIABILITIES AND CAPITAL</v>
      </c>
      <c r="M142" s="287">
        <v>0</v>
      </c>
      <c r="N142" s="287">
        <v>0</v>
      </c>
      <c r="O142" s="287">
        <v>0</v>
      </c>
      <c r="P142" s="287">
        <v>9837894830.7834415</v>
      </c>
      <c r="Q142" s="287">
        <v>9877810849.4760246</v>
      </c>
      <c r="R142" s="287">
        <v>9950615078.9201508</v>
      </c>
      <c r="S142" s="287">
        <v>10007572639.438999</v>
      </c>
      <c r="T142" s="287">
        <v>10075351636.892029</v>
      </c>
      <c r="U142" s="287">
        <v>10229633469.52298</v>
      </c>
      <c r="V142" s="287">
        <v>10272306383.364033</v>
      </c>
      <c r="W142" s="287">
        <v>10303380101.195673</v>
      </c>
      <c r="X142" s="287">
        <v>10374519582.928949</v>
      </c>
      <c r="Y142" s="287">
        <v>10389745871.662462</v>
      </c>
      <c r="Z142" s="287">
        <v>10484312562.100817</v>
      </c>
      <c r="AA142" s="287">
        <v>10530584045.840672</v>
      </c>
      <c r="AB142" s="287">
        <v>10530584045.840672</v>
      </c>
    </row>
    <row r="143" spans="10:28" ht="15" customHeight="1" x14ac:dyDescent="0.2">
      <c r="J143" s="286" t="str">
        <f xml:space="preserve"> _xll.EPMOlapMemberO("[COSTCENTER].[PARENTH1].[1001]","","1001","","000")</f>
        <v>1001</v>
      </c>
      <c r="K143" s="289" t="str">
        <f xml:space="preserve"> _xll.EPMOlapMemberO("[C_ACCOUNT].[PARENTH1].[CURRENT_LIABILITIES]","","CURRENT_LIABILITIES","","000")</f>
        <v>CURRENT_LIABILITIES</v>
      </c>
      <c r="L143" s="286" t="str">
        <f>_xll.EPMMemberDesc(K143)</f>
        <v>CURRENT LIABILITIES</v>
      </c>
      <c r="M143" s="287">
        <v>0</v>
      </c>
      <c r="N143" s="287">
        <v>0</v>
      </c>
      <c r="O143" s="287">
        <v>0</v>
      </c>
      <c r="P143" s="287">
        <v>1001632760.1925611</v>
      </c>
      <c r="Q143" s="287">
        <v>981355478.35147619</v>
      </c>
      <c r="R143" s="287">
        <v>1038766965.020156</v>
      </c>
      <c r="S143" s="287">
        <v>1076448673.8429055</v>
      </c>
      <c r="T143" s="287">
        <v>582425352.37796474</v>
      </c>
      <c r="U143" s="287">
        <v>698181264.41519344</v>
      </c>
      <c r="V143" s="287">
        <v>701297135.91000283</v>
      </c>
      <c r="W143" s="287">
        <v>675587110.17924058</v>
      </c>
      <c r="X143" s="287">
        <v>937706553.17923403</v>
      </c>
      <c r="Y143" s="287">
        <v>915538314.27452397</v>
      </c>
      <c r="Z143" s="287">
        <v>976477040.41816759</v>
      </c>
      <c r="AA143" s="287">
        <v>1000082461.1474942</v>
      </c>
      <c r="AB143" s="287">
        <v>1000082461.1474942</v>
      </c>
    </row>
    <row r="144" spans="10:28" ht="15" customHeight="1" x14ac:dyDescent="0.2">
      <c r="J144" s="286" t="str">
        <f xml:space="preserve"> _xll.EPMOlapMemberO("[COSTCENTER].[PARENTH1].[1001]","","1001","","000")</f>
        <v>1001</v>
      </c>
      <c r="K144" s="290" t="str">
        <f xml:space="preserve"> _xll.EPMOlapMemberO("[C_ACCOUNT].[PARENTH1].[LT_DEBT_INYEAR]","","LT_DEBT_INYEAR","","000")</f>
        <v>LT_DEBT_INYEAR</v>
      </c>
      <c r="L144" s="286" t="str">
        <f>_xll.EPMMemberDesc(K144)</f>
        <v>Long-term debt due within one year</v>
      </c>
      <c r="M144" s="287">
        <v>0</v>
      </c>
      <c r="N144" s="287">
        <v>0</v>
      </c>
      <c r="O144" s="287">
        <v>0</v>
      </c>
      <c r="P144" s="287">
        <v>231730320</v>
      </c>
      <c r="Q144" s="287">
        <v>231730320</v>
      </c>
      <c r="R144" s="287">
        <v>231730320</v>
      </c>
      <c r="S144" s="287">
        <v>231730320</v>
      </c>
      <c r="T144" s="287">
        <v>0</v>
      </c>
      <c r="U144" s="287">
        <v>0</v>
      </c>
      <c r="V144" s="287">
        <v>0</v>
      </c>
      <c r="W144" s="287">
        <v>0</v>
      </c>
      <c r="X144" s="287">
        <v>225000000</v>
      </c>
      <c r="Y144" s="287">
        <v>225000000</v>
      </c>
      <c r="Z144" s="287">
        <v>225000000</v>
      </c>
      <c r="AA144" s="287">
        <v>225000000</v>
      </c>
      <c r="AB144" s="287">
        <v>225000000</v>
      </c>
    </row>
    <row r="145" spans="10:28" ht="15" customHeight="1" x14ac:dyDescent="0.2">
      <c r="J145" s="286" t="str">
        <f xml:space="preserve"> _xll.EPMOlapMemberO("[COSTCENTER].[PARENTH1].[1001]","","1001","","000")</f>
        <v>1001</v>
      </c>
      <c r="K145" s="294" t="str">
        <f xml:space="preserve"> _xll.EPMOlapMemberO("[C_ACCOUNT].[PARENTH1].[RECOURSE]","","RECOURSE","","000")</f>
        <v>RECOURSE</v>
      </c>
      <c r="L145" s="286" t="str">
        <f>_xll.EPMMemberDesc(K145)</f>
        <v>Recourse</v>
      </c>
      <c r="M145" s="287">
        <v>0</v>
      </c>
      <c r="N145" s="287">
        <v>0</v>
      </c>
      <c r="O145" s="287">
        <v>0</v>
      </c>
      <c r="P145" s="287">
        <v>231730320</v>
      </c>
      <c r="Q145" s="287">
        <v>231730320</v>
      </c>
      <c r="R145" s="287">
        <v>231730320</v>
      </c>
      <c r="S145" s="287">
        <v>231730320</v>
      </c>
      <c r="T145" s="287">
        <v>0</v>
      </c>
      <c r="U145" s="287">
        <v>0</v>
      </c>
      <c r="V145" s="287">
        <v>0</v>
      </c>
      <c r="W145" s="287">
        <v>0</v>
      </c>
      <c r="X145" s="287">
        <v>225000000</v>
      </c>
      <c r="Y145" s="287">
        <v>225000000</v>
      </c>
      <c r="Z145" s="287">
        <v>225000000</v>
      </c>
      <c r="AA145" s="287">
        <v>225000000</v>
      </c>
      <c r="AB145" s="287">
        <v>225000000</v>
      </c>
    </row>
    <row r="146" spans="10:28" ht="15" customHeight="1" x14ac:dyDescent="0.25">
      <c r="J146" s="291" t="str">
        <f xml:space="preserve"> _xll.EPMOlapMemberO("[COSTCENTER].[PARENTH1].[1001]","","1001","","000")</f>
        <v>1001</v>
      </c>
      <c r="K146" s="295" t="str">
        <f xml:space="preserve"> _xll.EPMOlapMemberO("[C_ACCOUNT].[PARENTH1].[A_2210100]","","A_2210100","","000")</f>
        <v>A_2210100</v>
      </c>
      <c r="L146" s="293" t="str">
        <f>_xll.EPMMemberDesc(K146)</f>
        <v>Bonds - Recourse - Current</v>
      </c>
      <c r="M146" s="293">
        <v>0</v>
      </c>
      <c r="N146" s="293">
        <v>0</v>
      </c>
      <c r="O146" s="293">
        <v>0</v>
      </c>
      <c r="P146" s="293">
        <v>231730320</v>
      </c>
      <c r="Q146" s="293">
        <v>231730320</v>
      </c>
      <c r="R146" s="293">
        <v>231730320</v>
      </c>
      <c r="S146" s="293">
        <v>231730320</v>
      </c>
      <c r="T146" s="293">
        <v>0</v>
      </c>
      <c r="U146" s="293">
        <v>0</v>
      </c>
      <c r="V146" s="293">
        <v>0</v>
      </c>
      <c r="W146" s="293">
        <v>0</v>
      </c>
      <c r="X146" s="293">
        <v>225000000</v>
      </c>
      <c r="Y146" s="293">
        <v>225000000</v>
      </c>
      <c r="Z146" s="293">
        <v>225000000</v>
      </c>
      <c r="AA146" s="293">
        <v>225000000</v>
      </c>
      <c r="AB146" s="293">
        <v>225000000</v>
      </c>
    </row>
    <row r="147" spans="10:28" ht="15" customHeight="1" x14ac:dyDescent="0.2">
      <c r="J147" s="286" t="str">
        <f xml:space="preserve"> _xll.EPMOlapMemberO("[COSTCENTER].[PARENTH1].[1001]","","1001","","000")</f>
        <v>1001</v>
      </c>
      <c r="K147" s="290" t="str">
        <f xml:space="preserve"> _xll.EPMOlapMemberO("[C_ACCOUNT].[PARENTH1].[NOTES_PAYABLE]","","NOTES_PAYABLE","","000")</f>
        <v>NOTES_PAYABLE</v>
      </c>
      <c r="L147" s="286" t="str">
        <f>_xll.EPMMemberDesc(K147)</f>
        <v>Notes Payable</v>
      </c>
      <c r="M147" s="287">
        <v>0</v>
      </c>
      <c r="N147" s="287">
        <v>0</v>
      </c>
      <c r="O147" s="287">
        <v>0</v>
      </c>
      <c r="P147" s="287">
        <v>347029631.4440459</v>
      </c>
      <c r="Q147" s="287">
        <v>350888449.313703</v>
      </c>
      <c r="R147" s="287">
        <v>380112729.48223382</v>
      </c>
      <c r="S147" s="287">
        <v>409037019.31455982</v>
      </c>
      <c r="T147" s="287">
        <v>146903471.9213061</v>
      </c>
      <c r="U147" s="287">
        <v>255469076.80448341</v>
      </c>
      <c r="V147" s="287">
        <v>248121772.92566541</v>
      </c>
      <c r="W147" s="287">
        <v>193540963.34655491</v>
      </c>
      <c r="X147" s="287">
        <v>212236206.3248114</v>
      </c>
      <c r="Y147" s="287">
        <v>180016861.5588769</v>
      </c>
      <c r="Z147" s="287">
        <v>336718217.48199481</v>
      </c>
      <c r="AA147" s="287">
        <v>376359772.47319877</v>
      </c>
      <c r="AB147" s="287">
        <v>376359772.47319877</v>
      </c>
    </row>
    <row r="148" spans="10:28" ht="15" customHeight="1" x14ac:dyDescent="0.2">
      <c r="J148" s="286" t="str">
        <f xml:space="preserve"> _xll.EPMOlapMemberO("[COSTCENTER].[PARENTH1].[1001]","","1001","","000")</f>
        <v>1001</v>
      </c>
      <c r="K148" s="294" t="str">
        <f xml:space="preserve"> _xll.EPMOlapMemberO("[C_ACCOUNT].[PARENTH1].[NOTES_PAY_ONLY]","","Notes_Pay_Only","","000")</f>
        <v>Notes_Pay_Only</v>
      </c>
      <c r="L148" s="286" t="str">
        <f>_xll.EPMMemberDesc(K148)</f>
        <v>Notes Payable</v>
      </c>
      <c r="M148" s="287">
        <v>0</v>
      </c>
      <c r="N148" s="287">
        <v>0</v>
      </c>
      <c r="O148" s="287">
        <v>0</v>
      </c>
      <c r="P148" s="287">
        <v>347029631.4440459</v>
      </c>
      <c r="Q148" s="287">
        <v>350888449.313703</v>
      </c>
      <c r="R148" s="287">
        <v>380112729.48223382</v>
      </c>
      <c r="S148" s="287">
        <v>409037019.31455982</v>
      </c>
      <c r="T148" s="287">
        <v>146903471.9213061</v>
      </c>
      <c r="U148" s="287">
        <v>255469076.80448341</v>
      </c>
      <c r="V148" s="287">
        <v>248121772.92566541</v>
      </c>
      <c r="W148" s="287">
        <v>193540963.34655491</v>
      </c>
      <c r="X148" s="287">
        <v>212236206.3248114</v>
      </c>
      <c r="Y148" s="287">
        <v>180016861.5588769</v>
      </c>
      <c r="Z148" s="287">
        <v>336718217.48199481</v>
      </c>
      <c r="AA148" s="287">
        <v>376359772.47319877</v>
      </c>
      <c r="AB148" s="287">
        <v>376359772.47319877</v>
      </c>
    </row>
    <row r="149" spans="10:28" ht="15" customHeight="1" x14ac:dyDescent="0.25">
      <c r="J149" s="291" t="str">
        <f xml:space="preserve"> _xll.EPMOlapMemberO("[COSTCENTER].[PARENTH1].[1001]","","1001","","000")</f>
        <v>1001</v>
      </c>
      <c r="K149" s="295" t="str">
        <f xml:space="preserve"> _xll.EPMOlapMemberO("[C_ACCOUNT].[PARENTH1].[A_2310000]","","A_2310000","","000")</f>
        <v>A_2310000</v>
      </c>
      <c r="L149" s="293" t="str">
        <f>_xll.EPMMemberDesc(K149)</f>
        <v>Notes Payable (Borrowings &lt; 1 Year Duration)</v>
      </c>
      <c r="M149" s="293">
        <v>0</v>
      </c>
      <c r="N149" s="293">
        <v>0</v>
      </c>
      <c r="O149" s="293">
        <v>0</v>
      </c>
      <c r="P149" s="293">
        <v>347029631.4440459</v>
      </c>
      <c r="Q149" s="293">
        <v>350888449.313703</v>
      </c>
      <c r="R149" s="293">
        <v>380112729.48223382</v>
      </c>
      <c r="S149" s="293">
        <v>409037019.31455982</v>
      </c>
      <c r="T149" s="293">
        <v>146903471.9213061</v>
      </c>
      <c r="U149" s="293">
        <v>255469076.80448341</v>
      </c>
      <c r="V149" s="293">
        <v>248121772.92566541</v>
      </c>
      <c r="W149" s="293">
        <v>193540963.34655491</v>
      </c>
      <c r="X149" s="293">
        <v>212236206.3248114</v>
      </c>
      <c r="Y149" s="293">
        <v>180016861.5588769</v>
      </c>
      <c r="Z149" s="293">
        <v>336718217.48199481</v>
      </c>
      <c r="AA149" s="293">
        <v>376359772.47319877</v>
      </c>
      <c r="AB149" s="293">
        <v>376359772.47319877</v>
      </c>
    </row>
    <row r="150" spans="10:28" ht="15" customHeight="1" x14ac:dyDescent="0.2">
      <c r="J150" s="286" t="str">
        <f xml:space="preserve"> _xll.EPMOlapMemberO("[COSTCENTER].[PARENTH1].[1001]","","1001","","000")</f>
        <v>1001</v>
      </c>
      <c r="K150" s="290" t="str">
        <f xml:space="preserve"> _xll.EPMOlapMemberO("[C_ACCOUNT].[PARENTH1].[ACCOUNTS_PAYABLE]","","ACCOUNTS_PAYABLE","","000")</f>
        <v>ACCOUNTS_PAYABLE</v>
      </c>
      <c r="L150" s="286" t="str">
        <f>_xll.EPMMemberDesc(K150)</f>
        <v>Accounts Payable</v>
      </c>
      <c r="M150" s="287">
        <v>0</v>
      </c>
      <c r="N150" s="287">
        <v>0</v>
      </c>
      <c r="O150" s="287">
        <v>0</v>
      </c>
      <c r="P150" s="287">
        <v>211187776.01378191</v>
      </c>
      <c r="Q150" s="287">
        <v>189905732.15544069</v>
      </c>
      <c r="R150" s="287">
        <v>203700470.3723976</v>
      </c>
      <c r="S150" s="287">
        <v>203469508.1134662</v>
      </c>
      <c r="T150" s="287">
        <v>216682149.4051587</v>
      </c>
      <c r="U150" s="287">
        <v>233614094.8717775</v>
      </c>
      <c r="V150" s="287">
        <v>222125074.7585021</v>
      </c>
      <c r="W150" s="287">
        <v>228326639.80038151</v>
      </c>
      <c r="X150" s="287">
        <v>231996270.44236621</v>
      </c>
      <c r="Y150" s="287">
        <v>226137671.8187969</v>
      </c>
      <c r="Z150" s="287">
        <v>218426628.0665271</v>
      </c>
      <c r="AA150" s="287">
        <v>227647829.08115819</v>
      </c>
      <c r="AB150" s="287">
        <v>227647829.08115819</v>
      </c>
    </row>
    <row r="151" spans="10:28" ht="15" customHeight="1" x14ac:dyDescent="0.2">
      <c r="J151" s="286" t="str">
        <f xml:space="preserve"> _xll.EPMOlapMemberO("[COSTCENTER].[PARENTH1].[1001]","","1001","","000")</f>
        <v>1001</v>
      </c>
      <c r="K151" s="294" t="str">
        <f xml:space="preserve"> _xll.EPMOlapMemberO("[C_ACCOUNT].[PARENTH1].[AP_OUTSIDERS]","","AP_OUTSIDERS","","000")</f>
        <v>AP_OUTSIDERS</v>
      </c>
      <c r="L151" s="286" t="str">
        <f>_xll.EPMMemberDesc(K151)</f>
        <v>Accounts Payable - Outsiders</v>
      </c>
      <c r="M151" s="287">
        <v>0</v>
      </c>
      <c r="N151" s="287">
        <v>0</v>
      </c>
      <c r="O151" s="287">
        <v>0</v>
      </c>
      <c r="P151" s="287">
        <v>192694731.8337819</v>
      </c>
      <c r="Q151" s="287">
        <v>171412687.97544071</v>
      </c>
      <c r="R151" s="287">
        <v>185207426.19239759</v>
      </c>
      <c r="S151" s="287">
        <v>184976463.9334662</v>
      </c>
      <c r="T151" s="287">
        <v>198189105.22515869</v>
      </c>
      <c r="U151" s="287">
        <v>215121050.6917775</v>
      </c>
      <c r="V151" s="287">
        <v>203632030.57850209</v>
      </c>
      <c r="W151" s="287">
        <v>209833595.6203815</v>
      </c>
      <c r="X151" s="287">
        <v>213503226.26236621</v>
      </c>
      <c r="Y151" s="287">
        <v>207644627.6387969</v>
      </c>
      <c r="Z151" s="287">
        <v>199933583.88652709</v>
      </c>
      <c r="AA151" s="287">
        <v>209154784.90115821</v>
      </c>
      <c r="AB151" s="287">
        <v>209154784.90115821</v>
      </c>
    </row>
    <row r="152" spans="10:28" ht="15" customHeight="1" x14ac:dyDescent="0.25">
      <c r="J152" s="291" t="str">
        <f xml:space="preserve"> _xll.EPMOlapMemberO("[COSTCENTER].[PARENTH1].[1001]","","1001","","000")</f>
        <v>1001</v>
      </c>
      <c r="K152" s="295" t="str">
        <f xml:space="preserve"> _xll.EPMOlapMemberO("[C_ACCOUNT].[PARENTH1].[A_2320000]","","A_2320000","","000")</f>
        <v>A_2320000</v>
      </c>
      <c r="L152" s="293" t="str">
        <f>_xll.EPMMemberDesc(K152)</f>
        <v>AP Vouchers (Do not Post)</v>
      </c>
      <c r="M152" s="293">
        <v>0</v>
      </c>
      <c r="N152" s="293">
        <v>0</v>
      </c>
      <c r="O152" s="293">
        <v>0</v>
      </c>
      <c r="P152" s="293">
        <v>15000000</v>
      </c>
      <c r="Q152" s="293">
        <v>15000000</v>
      </c>
      <c r="R152" s="293">
        <v>15000000</v>
      </c>
      <c r="S152" s="293">
        <v>15000000</v>
      </c>
      <c r="T152" s="293">
        <v>15000000</v>
      </c>
      <c r="U152" s="293">
        <v>15000000</v>
      </c>
      <c r="V152" s="293">
        <v>15000000</v>
      </c>
      <c r="W152" s="293">
        <v>15000000</v>
      </c>
      <c r="X152" s="293">
        <v>15000000</v>
      </c>
      <c r="Y152" s="293">
        <v>15000000</v>
      </c>
      <c r="Z152" s="293">
        <v>15000000</v>
      </c>
      <c r="AA152" s="293">
        <v>15000000</v>
      </c>
      <c r="AB152" s="293">
        <v>15000000</v>
      </c>
    </row>
    <row r="153" spans="10:28" ht="15" customHeight="1" x14ac:dyDescent="0.25">
      <c r="J153" s="291" t="str">
        <f xml:space="preserve"> _xll.EPMOlapMemberO("[COSTCENTER].[PARENTH1].[1001]","","1001","","000")</f>
        <v>1001</v>
      </c>
      <c r="K153" s="295" t="str">
        <f xml:space="preserve"> _xll.EPMOlapMemberO("[C_ACCOUNT].[PARENTH1].[A_2320001]","","A_2320001","","000")</f>
        <v>A_2320001</v>
      </c>
      <c r="L153" s="293" t="str">
        <f>_xll.EPMMemberDesc(K153)</f>
        <v>AP Manual Accruals</v>
      </c>
      <c r="M153" s="293">
        <v>0</v>
      </c>
      <c r="N153" s="293">
        <v>0</v>
      </c>
      <c r="O153" s="293">
        <v>0</v>
      </c>
      <c r="P153" s="293">
        <v>57224854.112115197</v>
      </c>
      <c r="Q153" s="293">
        <v>57613229.6471074</v>
      </c>
      <c r="R153" s="293">
        <v>58933621.322397597</v>
      </c>
      <c r="S153" s="293">
        <v>59174431.343942396</v>
      </c>
      <c r="T153" s="293">
        <v>65287240.721825399</v>
      </c>
      <c r="U153" s="293">
        <v>67392651.541777506</v>
      </c>
      <c r="V153" s="293">
        <v>62082140.980296902</v>
      </c>
      <c r="W153" s="293">
        <v>62068553.216381498</v>
      </c>
      <c r="X153" s="293">
        <v>64048564.399032898</v>
      </c>
      <c r="Y153" s="293">
        <v>61970275.318796903</v>
      </c>
      <c r="Z153" s="293">
        <v>60380731.264527097</v>
      </c>
      <c r="AA153" s="293">
        <v>63456570.307824902</v>
      </c>
      <c r="AB153" s="293">
        <v>63456570.307824902</v>
      </c>
    </row>
    <row r="154" spans="10:28" ht="15" customHeight="1" x14ac:dyDescent="0.25">
      <c r="J154" s="291" t="str">
        <f xml:space="preserve"> _xll.EPMOlapMemberO("[COSTCENTER].[PARENTH1].[1001]","","1001","","000")</f>
        <v>1001</v>
      </c>
      <c r="K154" s="295" t="str">
        <f xml:space="preserve"> _xll.EPMOlapMemberO("[C_ACCOUNT].[PARENTH1].[A_2320002]","","A_2320002","","000")</f>
        <v>A_2320002</v>
      </c>
      <c r="L154" s="293" t="str">
        <f>_xll.EPMMemberDesc(K154)</f>
        <v>AP GR/IR Clearing</v>
      </c>
      <c r="M154" s="293">
        <v>0</v>
      </c>
      <c r="N154" s="293">
        <v>0</v>
      </c>
      <c r="O154" s="293">
        <v>0</v>
      </c>
      <c r="P154" s="293">
        <v>25000000</v>
      </c>
      <c r="Q154" s="293">
        <v>25000000</v>
      </c>
      <c r="R154" s="293">
        <v>25000000</v>
      </c>
      <c r="S154" s="293">
        <v>25000000</v>
      </c>
      <c r="T154" s="293">
        <v>25000000</v>
      </c>
      <c r="U154" s="293">
        <v>25000000</v>
      </c>
      <c r="V154" s="293">
        <v>25000000</v>
      </c>
      <c r="W154" s="293">
        <v>25000000</v>
      </c>
      <c r="X154" s="293">
        <v>25000000</v>
      </c>
      <c r="Y154" s="293">
        <v>25000000</v>
      </c>
      <c r="Z154" s="293">
        <v>25000000</v>
      </c>
      <c r="AA154" s="293">
        <v>25000000</v>
      </c>
      <c r="AB154" s="293">
        <v>25000000</v>
      </c>
    </row>
    <row r="155" spans="10:28" ht="15" customHeight="1" x14ac:dyDescent="0.25">
      <c r="J155" s="291" t="str">
        <f xml:space="preserve"> _xll.EPMOlapMemberO("[COSTCENTER].[PARENTH1].[1001]","","1001","","000")</f>
        <v>1001</v>
      </c>
      <c r="K155" s="295" t="str">
        <f xml:space="preserve"> _xll.EPMOlapMemberO("[C_ACCOUNT].[PARENTH1].[A_2320007]","","A_2320007","","000")</f>
        <v>A_2320007</v>
      </c>
      <c r="L155" s="293" t="str">
        <f>_xll.EPMMemberDesc(K155)</f>
        <v>AP Payroll</v>
      </c>
      <c r="M155" s="293">
        <v>0</v>
      </c>
      <c r="N155" s="293">
        <v>0</v>
      </c>
      <c r="O155" s="293">
        <v>0</v>
      </c>
      <c r="P155" s="293">
        <v>5142319.3250000002</v>
      </c>
      <c r="Q155" s="293">
        <v>5254393.9249999998</v>
      </c>
      <c r="R155" s="293">
        <v>8458837.9399999995</v>
      </c>
      <c r="S155" s="293">
        <v>9778862.2628571</v>
      </c>
      <c r="T155" s="293">
        <v>8680374.5999999996</v>
      </c>
      <c r="U155" s="293">
        <v>12829946.4</v>
      </c>
      <c r="V155" s="293">
        <v>1602061.6615385001</v>
      </c>
      <c r="W155" s="293">
        <v>4998432.3839999996</v>
      </c>
      <c r="X155" s="293">
        <v>5553813.7599999998</v>
      </c>
      <c r="Y155" s="293">
        <v>4628178.1333333002</v>
      </c>
      <c r="Z155" s="293">
        <v>4581896.352</v>
      </c>
      <c r="AA155" s="293">
        <v>3124020.24</v>
      </c>
      <c r="AB155" s="293">
        <v>3124020.24</v>
      </c>
    </row>
    <row r="156" spans="10:28" ht="15" customHeight="1" x14ac:dyDescent="0.25">
      <c r="J156" s="291" t="str">
        <f xml:space="preserve"> _xll.EPMOlapMemberO("[COSTCENTER].[PARENTH1].[1001]","","1001","","000")</f>
        <v>1001</v>
      </c>
      <c r="K156" s="295" t="str">
        <f xml:space="preserve"> _xll.EPMOlapMemberO("[C_ACCOUNT].[PARENTH1].[A_2320008]","","A_2320008","","000")</f>
        <v>A_2320008</v>
      </c>
      <c r="L156" s="293" t="str">
        <f>_xll.EPMMemberDesc(K156)</f>
        <v>AP 401K Fixed Match</v>
      </c>
      <c r="M156" s="293">
        <v>0</v>
      </c>
      <c r="N156" s="293">
        <v>0</v>
      </c>
      <c r="O156" s="293">
        <v>0</v>
      </c>
      <c r="P156" s="293">
        <v>602000</v>
      </c>
      <c r="Q156" s="293">
        <v>55000</v>
      </c>
      <c r="R156" s="293">
        <v>108000</v>
      </c>
      <c r="S156" s="293">
        <v>161000</v>
      </c>
      <c r="T156" s="293">
        <v>214000</v>
      </c>
      <c r="U156" s="293">
        <v>267000</v>
      </c>
      <c r="V156" s="293">
        <v>320000</v>
      </c>
      <c r="W156" s="293">
        <v>373000</v>
      </c>
      <c r="X156" s="293">
        <v>426000</v>
      </c>
      <c r="Y156" s="293">
        <v>479000</v>
      </c>
      <c r="Z156" s="293">
        <v>532000</v>
      </c>
      <c r="AA156" s="293">
        <v>585000</v>
      </c>
      <c r="AB156" s="293">
        <v>585000</v>
      </c>
    </row>
    <row r="157" spans="10:28" ht="15" customHeight="1" x14ac:dyDescent="0.25">
      <c r="J157" s="291" t="str">
        <f xml:space="preserve"> _xll.EPMOlapMemberO("[COSTCENTER].[PARENTH1].[1001]","","1001","","000")</f>
        <v>1001</v>
      </c>
      <c r="K157" s="295" t="str">
        <f xml:space="preserve"> _xll.EPMOlapMemberO("[C_ACCOUNT].[PARENTH1].[A_2320009]","","A_2320009","","000")</f>
        <v>A_2320009</v>
      </c>
      <c r="L157" s="293" t="str">
        <f>_xll.EPMMemberDesc(K157)</f>
        <v>AP 401K Performance Match</v>
      </c>
      <c r="M157" s="293">
        <v>0</v>
      </c>
      <c r="N157" s="293">
        <v>0</v>
      </c>
      <c r="O157" s="293">
        <v>0</v>
      </c>
      <c r="P157" s="293">
        <v>750000</v>
      </c>
      <c r="Q157" s="293">
        <v>0</v>
      </c>
      <c r="R157" s="293">
        <v>0</v>
      </c>
      <c r="S157" s="293">
        <v>0</v>
      </c>
      <c r="T157" s="293">
        <v>0</v>
      </c>
      <c r="U157" s="293">
        <v>0</v>
      </c>
      <c r="V157" s="293">
        <v>0</v>
      </c>
      <c r="W157" s="293">
        <v>0</v>
      </c>
      <c r="X157" s="293">
        <v>0</v>
      </c>
      <c r="Y157" s="293">
        <v>0</v>
      </c>
      <c r="Z157" s="293">
        <v>750000</v>
      </c>
      <c r="AA157" s="293">
        <v>750000</v>
      </c>
      <c r="AB157" s="293">
        <v>750000</v>
      </c>
    </row>
    <row r="158" spans="10:28" ht="15" customHeight="1" x14ac:dyDescent="0.25">
      <c r="J158" s="291" t="str">
        <f xml:space="preserve"> _xll.EPMOlapMemberO("[COSTCENTER].[PARENTH1].[1001]","","1001","","000")</f>
        <v>1001</v>
      </c>
      <c r="K158" s="295" t="str">
        <f xml:space="preserve"> _xll.EPMOlapMemberO("[C_ACCOUNT].[PARENTH1].[A_2320012]","","A_2320012","","000")</f>
        <v>A_2320012</v>
      </c>
      <c r="L158" s="293" t="str">
        <f>_xll.EPMMemberDesc(K158)</f>
        <v>AP PSP / Incentive</v>
      </c>
      <c r="M158" s="293">
        <v>0</v>
      </c>
      <c r="N158" s="293">
        <v>0</v>
      </c>
      <c r="O158" s="293">
        <v>0</v>
      </c>
      <c r="P158" s="293">
        <v>21797000</v>
      </c>
      <c r="Q158" s="293">
        <v>3565000</v>
      </c>
      <c r="R158" s="293">
        <v>5333000</v>
      </c>
      <c r="S158" s="293">
        <v>7101000</v>
      </c>
      <c r="T158" s="293">
        <v>8869000</v>
      </c>
      <c r="U158" s="293">
        <v>10637000</v>
      </c>
      <c r="V158" s="293">
        <v>12405000</v>
      </c>
      <c r="W158" s="293">
        <v>14173000</v>
      </c>
      <c r="X158" s="293">
        <v>15941000</v>
      </c>
      <c r="Y158" s="293">
        <v>17709000</v>
      </c>
      <c r="Z158" s="293">
        <v>19477000</v>
      </c>
      <c r="AA158" s="293">
        <v>21245000</v>
      </c>
      <c r="AB158" s="293">
        <v>21245000</v>
      </c>
    </row>
    <row r="159" spans="10:28" ht="15" customHeight="1" x14ac:dyDescent="0.25">
      <c r="J159" s="291" t="str">
        <f xml:space="preserve"> _xll.EPMOlapMemberO("[COSTCENTER].[PARENTH1].[1001]","","1001","","000")</f>
        <v>1001</v>
      </c>
      <c r="K159" s="295" t="str">
        <f xml:space="preserve"> _xll.EPMOlapMemberO("[C_ACCOUNT].[PARENTH1].[A_2320015]","","A_2320015","","000")</f>
        <v>A_2320015</v>
      </c>
      <c r="L159" s="293" t="str">
        <f>_xll.EPMMemberDesc(K159)</f>
        <v>AP Group Life Insurance</v>
      </c>
      <c r="M159" s="293">
        <v>0</v>
      </c>
      <c r="N159" s="293">
        <v>0</v>
      </c>
      <c r="O159" s="293">
        <v>0</v>
      </c>
      <c r="P159" s="293">
        <v>81000</v>
      </c>
      <c r="Q159" s="293">
        <v>81000</v>
      </c>
      <c r="R159" s="293">
        <v>81000</v>
      </c>
      <c r="S159" s="293">
        <v>81000</v>
      </c>
      <c r="T159" s="293">
        <v>81000</v>
      </c>
      <c r="U159" s="293">
        <v>81000</v>
      </c>
      <c r="V159" s="293">
        <v>81000</v>
      </c>
      <c r="W159" s="293">
        <v>81000</v>
      </c>
      <c r="X159" s="293">
        <v>81000</v>
      </c>
      <c r="Y159" s="293">
        <v>81000</v>
      </c>
      <c r="Z159" s="293">
        <v>81000</v>
      </c>
      <c r="AA159" s="293">
        <v>81000</v>
      </c>
      <c r="AB159" s="293">
        <v>81000</v>
      </c>
    </row>
    <row r="160" spans="10:28" ht="15" customHeight="1" x14ac:dyDescent="0.25">
      <c r="J160" s="291" t="str">
        <f xml:space="preserve"> _xll.EPMOlapMemberO("[COSTCENTER].[PARENTH1].[1001]","","1001","","000")</f>
        <v>1001</v>
      </c>
      <c r="K160" s="295" t="str">
        <f xml:space="preserve"> _xll.EPMOlapMemberO("[C_ACCOUNT].[PARENTH1].[A_2320016]","","A_2320016","","000")</f>
        <v>A_2320016</v>
      </c>
      <c r="L160" s="293" t="str">
        <f>_xll.EPMMemberDesc(K160)</f>
        <v>AP Long-term Care Insurance</v>
      </c>
      <c r="M160" s="293">
        <v>0</v>
      </c>
      <c r="N160" s="293">
        <v>0</v>
      </c>
      <c r="O160" s="293">
        <v>0</v>
      </c>
      <c r="P160" s="293">
        <v>-5000</v>
      </c>
      <c r="Q160" s="293">
        <v>-5000</v>
      </c>
      <c r="R160" s="293">
        <v>-5000</v>
      </c>
      <c r="S160" s="293">
        <v>-5000</v>
      </c>
      <c r="T160" s="293">
        <v>-5000</v>
      </c>
      <c r="U160" s="293">
        <v>-5000</v>
      </c>
      <c r="V160" s="293">
        <v>-5000</v>
      </c>
      <c r="W160" s="293">
        <v>-5000</v>
      </c>
      <c r="X160" s="293">
        <v>-5000</v>
      </c>
      <c r="Y160" s="293">
        <v>-5000</v>
      </c>
      <c r="Z160" s="293">
        <v>-5000</v>
      </c>
      <c r="AA160" s="293">
        <v>-5000</v>
      </c>
      <c r="AB160" s="293">
        <v>-5000</v>
      </c>
    </row>
    <row r="161" spans="10:28" ht="15" customHeight="1" x14ac:dyDescent="0.25">
      <c r="J161" s="291" t="str">
        <f xml:space="preserve"> _xll.EPMOlapMemberO("[COSTCENTER].[PARENTH1].[1001]","","1001","","000")</f>
        <v>1001</v>
      </c>
      <c r="K161" s="295" t="str">
        <f xml:space="preserve"> _xll.EPMOlapMemberO("[C_ACCOUNT].[PARENTH1].[A_2320022]","","A_2320022","","000")</f>
        <v>A_2320022</v>
      </c>
      <c r="L161" s="293" t="str">
        <f>_xll.EPMMemberDesc(K161)</f>
        <v>AP Medical Insurance Reserve - Active Employees</v>
      </c>
      <c r="M161" s="293">
        <v>0</v>
      </c>
      <c r="N161" s="293">
        <v>0</v>
      </c>
      <c r="O161" s="293">
        <v>0</v>
      </c>
      <c r="P161" s="293">
        <v>8557791.7300000004</v>
      </c>
      <c r="Q161" s="293">
        <v>8937131.0700000003</v>
      </c>
      <c r="R161" s="293">
        <v>9635410.9299999997</v>
      </c>
      <c r="S161" s="293">
        <v>10010903.66</v>
      </c>
      <c r="T161" s="293">
        <v>10383056.57</v>
      </c>
      <c r="U161" s="293">
        <v>10876396.75</v>
      </c>
      <c r="V161" s="293">
        <v>11112061.27</v>
      </c>
      <c r="W161" s="293">
        <v>11383676.686666699</v>
      </c>
      <c r="X161" s="293">
        <v>11655292.1033333</v>
      </c>
      <c r="Y161" s="293">
        <v>11926907.52</v>
      </c>
      <c r="Z161" s="293">
        <v>12198522.936666699</v>
      </c>
      <c r="AA161" s="293">
        <v>12470138.3533333</v>
      </c>
      <c r="AB161" s="293">
        <v>12470138.3533333</v>
      </c>
    </row>
    <row r="162" spans="10:28" ht="15" customHeight="1" x14ac:dyDescent="0.25">
      <c r="J162" s="291" t="str">
        <f xml:space="preserve"> _xll.EPMOlapMemberO("[COSTCENTER].[PARENTH1].[1001]","","1001","","000")</f>
        <v>1001</v>
      </c>
      <c r="K162" s="295" t="str">
        <f xml:space="preserve"> _xll.EPMOlapMemberO("[C_ACCOUNT].[PARENTH1].[A_2320027]","","A_2320027","","000")</f>
        <v>A_2320027</v>
      </c>
      <c r="L162" s="293" t="str">
        <f>_xll.EPMMemberDesc(K162)</f>
        <v>AP FSA - Medical</v>
      </c>
      <c r="M162" s="293">
        <v>0</v>
      </c>
      <c r="N162" s="293">
        <v>0</v>
      </c>
      <c r="O162" s="293">
        <v>0</v>
      </c>
      <c r="P162" s="293">
        <v>117000</v>
      </c>
      <c r="Q162" s="293">
        <v>117000</v>
      </c>
      <c r="R162" s="293">
        <v>117000</v>
      </c>
      <c r="S162" s="293">
        <v>117000</v>
      </c>
      <c r="T162" s="293">
        <v>117000</v>
      </c>
      <c r="U162" s="293">
        <v>117000</v>
      </c>
      <c r="V162" s="293">
        <v>137000</v>
      </c>
      <c r="W162" s="293">
        <v>137000</v>
      </c>
      <c r="X162" s="293">
        <v>137000</v>
      </c>
      <c r="Y162" s="293">
        <v>157000</v>
      </c>
      <c r="Z162" s="293">
        <v>157000</v>
      </c>
      <c r="AA162" s="293">
        <v>157000</v>
      </c>
      <c r="AB162" s="293">
        <v>157000</v>
      </c>
    </row>
    <row r="163" spans="10:28" ht="15" customHeight="1" x14ac:dyDescent="0.25">
      <c r="J163" s="291" t="str">
        <f xml:space="preserve"> _xll.EPMOlapMemberO("[COSTCENTER].[PARENTH1].[1001]","","1001","","000")</f>
        <v>1001</v>
      </c>
      <c r="K163" s="295" t="str">
        <f xml:space="preserve"> _xll.EPMOlapMemberO("[C_ACCOUNT].[PARENTH1].[A_2320028]","","A_2320028","","000")</f>
        <v>A_2320028</v>
      </c>
      <c r="L163" s="293" t="str">
        <f>_xll.EPMMemberDesc(K163)</f>
        <v>AP FSA - Dependent Care</v>
      </c>
      <c r="M163" s="293">
        <v>0</v>
      </c>
      <c r="N163" s="293">
        <v>0</v>
      </c>
      <c r="O163" s="293">
        <v>0</v>
      </c>
      <c r="P163" s="293">
        <v>40000</v>
      </c>
      <c r="Q163" s="293">
        <v>45000</v>
      </c>
      <c r="R163" s="293">
        <v>45000</v>
      </c>
      <c r="S163" s="293">
        <v>50000</v>
      </c>
      <c r="T163" s="293">
        <v>50000</v>
      </c>
      <c r="U163" s="293">
        <v>55000</v>
      </c>
      <c r="V163" s="293">
        <v>55000</v>
      </c>
      <c r="W163" s="293">
        <v>60000</v>
      </c>
      <c r="X163" s="293">
        <v>60000</v>
      </c>
      <c r="Y163" s="293">
        <v>60000</v>
      </c>
      <c r="Z163" s="293">
        <v>60000</v>
      </c>
      <c r="AA163" s="293">
        <v>60000</v>
      </c>
      <c r="AB163" s="293">
        <v>60000</v>
      </c>
    </row>
    <row r="164" spans="10:28" ht="15" customHeight="1" x14ac:dyDescent="0.25">
      <c r="J164" s="291" t="str">
        <f xml:space="preserve"> _xll.EPMOlapMemberO("[COSTCENTER].[PARENTH1].[1001]","","1001","","000")</f>
        <v>1001</v>
      </c>
      <c r="K164" s="295" t="str">
        <f xml:space="preserve"> _xll.EPMOlapMemberO("[C_ACCOUNT].[PARENTH1].[A_2320029]","","A_2320029","","000")</f>
        <v>A_2320029</v>
      </c>
      <c r="L164" s="293" t="str">
        <f>_xll.EPMMemberDesc(K164)</f>
        <v>AP FSA - Parking/Transit</v>
      </c>
      <c r="M164" s="293">
        <v>0</v>
      </c>
      <c r="N164" s="293">
        <v>0</v>
      </c>
      <c r="O164" s="293">
        <v>0</v>
      </c>
      <c r="P164" s="293">
        <v>52000</v>
      </c>
      <c r="Q164" s="293">
        <v>57000</v>
      </c>
      <c r="R164" s="293">
        <v>57000</v>
      </c>
      <c r="S164" s="293">
        <v>57000</v>
      </c>
      <c r="T164" s="293">
        <v>59000</v>
      </c>
      <c r="U164" s="293">
        <v>64000</v>
      </c>
      <c r="V164" s="293">
        <v>61000</v>
      </c>
      <c r="W164" s="293">
        <v>61000</v>
      </c>
      <c r="X164" s="293">
        <v>61000</v>
      </c>
      <c r="Y164" s="293">
        <v>61000</v>
      </c>
      <c r="Z164" s="293">
        <v>61000</v>
      </c>
      <c r="AA164" s="293">
        <v>61000</v>
      </c>
      <c r="AB164" s="293">
        <v>61000</v>
      </c>
    </row>
    <row r="165" spans="10:28" ht="15" customHeight="1" x14ac:dyDescent="0.25">
      <c r="J165" s="291" t="str">
        <f xml:space="preserve"> _xll.EPMOlapMemberO("[COSTCENTER].[PARENTH1].[1001]","","1001","","000")</f>
        <v>1001</v>
      </c>
      <c r="K165" s="295" t="str">
        <f xml:space="preserve"> _xll.EPMOlapMemberO("[C_ACCOUNT].[PARENTH1].[A_2320031]","","A_2320031","","000")</f>
        <v>A_2320031</v>
      </c>
      <c r="L165" s="293" t="str">
        <f>_xll.EPMMemberDesc(K165)</f>
        <v>AP Fuel Accrual</v>
      </c>
      <c r="M165" s="293">
        <v>0</v>
      </c>
      <c r="N165" s="293">
        <v>0</v>
      </c>
      <c r="O165" s="293">
        <v>0</v>
      </c>
      <c r="P165" s="293">
        <v>27173000</v>
      </c>
      <c r="Q165" s="293">
        <v>24866000</v>
      </c>
      <c r="R165" s="293">
        <v>29568000</v>
      </c>
      <c r="S165" s="293">
        <v>27435000</v>
      </c>
      <c r="T165" s="293">
        <v>32725000</v>
      </c>
      <c r="U165" s="293">
        <v>38280000</v>
      </c>
      <c r="V165" s="293">
        <v>42796000</v>
      </c>
      <c r="W165" s="293">
        <v>43313000</v>
      </c>
      <c r="X165" s="293">
        <v>40042000</v>
      </c>
      <c r="Y165" s="293">
        <v>37793000</v>
      </c>
      <c r="Z165" s="293">
        <v>29648000</v>
      </c>
      <c r="AA165" s="293">
        <v>33533000</v>
      </c>
      <c r="AB165" s="293">
        <v>33533000</v>
      </c>
    </row>
    <row r="166" spans="10:28" ht="15" customHeight="1" x14ac:dyDescent="0.25">
      <c r="J166" s="291" t="str">
        <f xml:space="preserve"> _xll.EPMOlapMemberO("[COSTCENTER].[PARENTH1].[1001]","","1001","","000")</f>
        <v>1001</v>
      </c>
      <c r="K166" s="295" t="str">
        <f xml:space="preserve"> _xll.EPMOlapMemberO("[C_ACCOUNT].[PARENTH1].[A_2320037]","","A_2320037","","000")</f>
        <v>A_2320037</v>
      </c>
      <c r="L166" s="293" t="str">
        <f>_xll.EPMMemberDesc(K166)</f>
        <v>AP Vision Benefit Plan</v>
      </c>
      <c r="M166" s="293">
        <v>0</v>
      </c>
      <c r="N166" s="293">
        <v>0</v>
      </c>
      <c r="O166" s="293">
        <v>0</v>
      </c>
      <c r="P166" s="293">
        <v>-4000</v>
      </c>
      <c r="Q166" s="293">
        <v>-4000</v>
      </c>
      <c r="R166" s="293">
        <v>-4000</v>
      </c>
      <c r="S166" s="293">
        <v>-4000</v>
      </c>
      <c r="T166" s="293">
        <v>-4000</v>
      </c>
      <c r="U166" s="293">
        <v>-2000</v>
      </c>
      <c r="V166" s="293">
        <v>-2000</v>
      </c>
      <c r="W166" s="293">
        <v>-2000</v>
      </c>
      <c r="X166" s="293">
        <v>-2000</v>
      </c>
      <c r="Y166" s="293">
        <v>-2000</v>
      </c>
      <c r="Z166" s="293">
        <v>-2000</v>
      </c>
      <c r="AA166" s="293">
        <v>-2000</v>
      </c>
      <c r="AB166" s="293">
        <v>-2000</v>
      </c>
    </row>
    <row r="167" spans="10:28" ht="15" customHeight="1" x14ac:dyDescent="0.25">
      <c r="J167" s="291" t="str">
        <f xml:space="preserve"> _xll.EPMOlapMemberO("[COSTCENTER].[PARENTH1].[1001]","","1001","","000")</f>
        <v>1001</v>
      </c>
      <c r="K167" s="295" t="str">
        <f xml:space="preserve"> _xll.EPMOlapMemberO("[C_ACCOUNT].[PARENTH1].[A_2320402]","","A_2320402","","000")</f>
        <v>A_2320402</v>
      </c>
      <c r="L167" s="293" t="str">
        <f>_xll.EPMMemberDesc(K167)</f>
        <v>AP CSA - Polk Unit #2</v>
      </c>
      <c r="M167" s="293">
        <v>0</v>
      </c>
      <c r="N167" s="293">
        <v>0</v>
      </c>
      <c r="O167" s="293">
        <v>0</v>
      </c>
      <c r="P167" s="293">
        <v>0</v>
      </c>
      <c r="Q167" s="293">
        <v>0</v>
      </c>
      <c r="R167" s="293">
        <v>885853</v>
      </c>
      <c r="S167" s="293">
        <v>0</v>
      </c>
      <c r="T167" s="293">
        <v>0</v>
      </c>
      <c r="U167" s="293">
        <v>885853</v>
      </c>
      <c r="V167" s="293">
        <v>0</v>
      </c>
      <c r="W167" s="293">
        <v>0</v>
      </c>
      <c r="X167" s="293">
        <v>885853</v>
      </c>
      <c r="Y167" s="293">
        <v>0</v>
      </c>
      <c r="Z167" s="293">
        <v>0</v>
      </c>
      <c r="AA167" s="293">
        <v>885853</v>
      </c>
      <c r="AB167" s="293">
        <v>885853</v>
      </c>
    </row>
    <row r="168" spans="10:28" ht="15" customHeight="1" x14ac:dyDescent="0.25">
      <c r="J168" s="291" t="str">
        <f xml:space="preserve"> _xll.EPMOlapMemberO("[COSTCENTER].[PARENTH1].[1001]","","1001","","000")</f>
        <v>1001</v>
      </c>
      <c r="K168" s="295" t="str">
        <f xml:space="preserve"> _xll.EPMOlapMemberO("[C_ACCOUNT].[PARENTH1].[A_2320403]","","A_2320403","","000")</f>
        <v>A_2320403</v>
      </c>
      <c r="L168" s="293" t="str">
        <f>_xll.EPMMemberDesc(K168)</f>
        <v>AP CSA - Polk Unit #3</v>
      </c>
      <c r="M168" s="293">
        <v>0</v>
      </c>
      <c r="N168" s="293">
        <v>0</v>
      </c>
      <c r="O168" s="293">
        <v>0</v>
      </c>
      <c r="P168" s="293">
        <v>0</v>
      </c>
      <c r="Q168" s="293">
        <v>0</v>
      </c>
      <c r="R168" s="293">
        <v>800694</v>
      </c>
      <c r="S168" s="293">
        <v>0</v>
      </c>
      <c r="T168" s="293">
        <v>0</v>
      </c>
      <c r="U168" s="293">
        <v>800694</v>
      </c>
      <c r="V168" s="293">
        <v>0</v>
      </c>
      <c r="W168" s="293">
        <v>0</v>
      </c>
      <c r="X168" s="293">
        <v>800694</v>
      </c>
      <c r="Y168" s="293">
        <v>0</v>
      </c>
      <c r="Z168" s="293">
        <v>0</v>
      </c>
      <c r="AA168" s="293">
        <v>800694</v>
      </c>
      <c r="AB168" s="293">
        <v>800694</v>
      </c>
    </row>
    <row r="169" spans="10:28" ht="15" customHeight="1" x14ac:dyDescent="0.25">
      <c r="J169" s="291" t="str">
        <f xml:space="preserve"> _xll.EPMOlapMemberO("[COSTCENTER].[PARENTH1].[1001]","","1001","","000")</f>
        <v>1001</v>
      </c>
      <c r="K169" s="295" t="str">
        <f xml:space="preserve"> _xll.EPMOlapMemberO("[C_ACCOUNT].[PARENTH1].[A_2320404]","","A_2320404","","000")</f>
        <v>A_2320404</v>
      </c>
      <c r="L169" s="293" t="str">
        <f>_xll.EPMMemberDesc(K169)</f>
        <v>AP CSA - Polk Unit #4</v>
      </c>
      <c r="M169" s="293">
        <v>0</v>
      </c>
      <c r="N169" s="293">
        <v>0</v>
      </c>
      <c r="O169" s="293">
        <v>0</v>
      </c>
      <c r="P169" s="293">
        <v>0</v>
      </c>
      <c r="Q169" s="293">
        <v>0</v>
      </c>
      <c r="R169" s="293">
        <v>72376</v>
      </c>
      <c r="S169" s="293">
        <v>0</v>
      </c>
      <c r="T169" s="293">
        <v>0</v>
      </c>
      <c r="U169" s="293">
        <v>72376</v>
      </c>
      <c r="V169" s="293">
        <v>0</v>
      </c>
      <c r="W169" s="293">
        <v>0</v>
      </c>
      <c r="X169" s="293">
        <v>72376</v>
      </c>
      <c r="Y169" s="293">
        <v>0</v>
      </c>
      <c r="Z169" s="293">
        <v>0</v>
      </c>
      <c r="AA169" s="293">
        <v>72376</v>
      </c>
      <c r="AB169" s="293">
        <v>72376</v>
      </c>
    </row>
    <row r="170" spans="10:28" ht="15" customHeight="1" x14ac:dyDescent="0.25">
      <c r="J170" s="291" t="str">
        <f xml:space="preserve"> _xll.EPMOlapMemberO("[COSTCENTER].[PARENTH1].[1001]","","1001","","000")</f>
        <v>1001</v>
      </c>
      <c r="K170" s="295" t="str">
        <f xml:space="preserve"> _xll.EPMOlapMemberO("[C_ACCOUNT].[PARENTH1].[A_2320405]","","A_2320405","","000")</f>
        <v>A_2320405</v>
      </c>
      <c r="L170" s="293" t="str">
        <f>_xll.EPMMemberDesc(K170)</f>
        <v>AP CSA - Polk Unit #5</v>
      </c>
      <c r="M170" s="293">
        <v>0</v>
      </c>
      <c r="N170" s="293">
        <v>0</v>
      </c>
      <c r="O170" s="293">
        <v>0</v>
      </c>
      <c r="P170" s="293">
        <v>0</v>
      </c>
      <c r="Q170" s="293">
        <v>0</v>
      </c>
      <c r="R170" s="293">
        <v>154533</v>
      </c>
      <c r="S170" s="293">
        <v>0</v>
      </c>
      <c r="T170" s="293">
        <v>0</v>
      </c>
      <c r="U170" s="293">
        <v>154533</v>
      </c>
      <c r="V170" s="293">
        <v>0</v>
      </c>
      <c r="W170" s="293">
        <v>0</v>
      </c>
      <c r="X170" s="293">
        <v>154533</v>
      </c>
      <c r="Y170" s="293">
        <v>0</v>
      </c>
      <c r="Z170" s="293">
        <v>0</v>
      </c>
      <c r="AA170" s="293">
        <v>154533</v>
      </c>
      <c r="AB170" s="293">
        <v>154533</v>
      </c>
    </row>
    <row r="171" spans="10:28" ht="15" customHeight="1" x14ac:dyDescent="0.25">
      <c r="J171" s="291" t="str">
        <f xml:space="preserve"> _xll.EPMOlapMemberO("[COSTCENTER].[PARENTH1].[1001]","","1001","","000")</f>
        <v>1001</v>
      </c>
      <c r="K171" s="295" t="str">
        <f xml:space="preserve"> _xll.EPMOlapMemberO("[C_ACCOUNT].[PARENTH1].[A_2410000]","","A_2410000","","000")</f>
        <v>A_2410000</v>
      </c>
      <c r="L171" s="293" t="str">
        <f>_xll.EPMMemberDesc(K171)</f>
        <v>Taxes Payable - Sales Use Tax (CIS)</v>
      </c>
      <c r="M171" s="293">
        <v>0</v>
      </c>
      <c r="N171" s="293">
        <v>0</v>
      </c>
      <c r="O171" s="293">
        <v>0</v>
      </c>
      <c r="P171" s="293">
        <v>230000</v>
      </c>
      <c r="Q171" s="293">
        <v>216000</v>
      </c>
      <c r="R171" s="293">
        <v>220000</v>
      </c>
      <c r="S171" s="293">
        <v>220000</v>
      </c>
      <c r="T171" s="293">
        <v>245000</v>
      </c>
      <c r="U171" s="293">
        <v>276000</v>
      </c>
      <c r="V171" s="293">
        <v>289000</v>
      </c>
      <c r="W171" s="293">
        <v>295000</v>
      </c>
      <c r="X171" s="293">
        <v>308000</v>
      </c>
      <c r="Y171" s="293">
        <v>277000</v>
      </c>
      <c r="Z171" s="293">
        <v>246000</v>
      </c>
      <c r="AA171" s="293">
        <v>239000</v>
      </c>
      <c r="AB171" s="293">
        <v>239000</v>
      </c>
    </row>
    <row r="172" spans="10:28" ht="15" customHeight="1" x14ac:dyDescent="0.25">
      <c r="J172" s="291" t="str">
        <f xml:space="preserve"> _xll.EPMOlapMemberO("[COSTCENTER].[PARENTH1].[1001]","","1001","","000")</f>
        <v>1001</v>
      </c>
      <c r="K172" s="295" t="str">
        <f xml:space="preserve"> _xll.EPMOlapMemberO("[C_ACCOUNT].[PARENTH1].[A_2410005]","","A_2410005","","000")</f>
        <v>A_2410005</v>
      </c>
      <c r="L172" s="293" t="str">
        <f>_xll.EPMMemberDesc(K172)</f>
        <v>Taxes Payable - Sales Surtax (CIS)</v>
      </c>
      <c r="M172" s="293">
        <v>0</v>
      </c>
      <c r="N172" s="293">
        <v>0</v>
      </c>
      <c r="O172" s="293">
        <v>0</v>
      </c>
      <c r="P172" s="293">
        <v>598000</v>
      </c>
      <c r="Q172" s="293">
        <v>562000</v>
      </c>
      <c r="R172" s="293">
        <v>571000</v>
      </c>
      <c r="S172" s="293">
        <v>572000</v>
      </c>
      <c r="T172" s="293">
        <v>637000</v>
      </c>
      <c r="U172" s="293">
        <v>718000</v>
      </c>
      <c r="V172" s="293">
        <v>750000</v>
      </c>
      <c r="W172" s="293">
        <v>766000</v>
      </c>
      <c r="X172" s="293">
        <v>800000</v>
      </c>
      <c r="Y172" s="293">
        <v>719000</v>
      </c>
      <c r="Z172" s="293">
        <v>640000</v>
      </c>
      <c r="AA172" s="293">
        <v>621000</v>
      </c>
      <c r="AB172" s="293">
        <v>621000</v>
      </c>
    </row>
    <row r="173" spans="10:28" ht="15" customHeight="1" x14ac:dyDescent="0.25">
      <c r="J173" s="291" t="str">
        <f xml:space="preserve"> _xll.EPMOlapMemberO("[COSTCENTER].[PARENTH1].[1001]","","1001","","000")</f>
        <v>1001</v>
      </c>
      <c r="K173" s="295" t="str">
        <f xml:space="preserve"> _xll.EPMOlapMemberO("[C_ACCOUNT].[PARENTH1].[A_2410300]","","A_2410300","","000")</f>
        <v>A_2410300</v>
      </c>
      <c r="L173" s="293" t="str">
        <f>_xll.EPMMemberDesc(K173)</f>
        <v>Taxes Payable - Sales and Use Tax (AP)</v>
      </c>
      <c r="M173" s="293">
        <v>0</v>
      </c>
      <c r="N173" s="293">
        <v>0</v>
      </c>
      <c r="O173" s="293">
        <v>0</v>
      </c>
      <c r="P173" s="293">
        <v>904000</v>
      </c>
      <c r="Q173" s="293">
        <v>849000</v>
      </c>
      <c r="R173" s="293">
        <v>863000</v>
      </c>
      <c r="S173" s="293">
        <v>865000</v>
      </c>
      <c r="T173" s="293">
        <v>963000</v>
      </c>
      <c r="U173" s="293">
        <v>1086000</v>
      </c>
      <c r="V173" s="293">
        <v>1134000</v>
      </c>
      <c r="W173" s="293">
        <v>1158000</v>
      </c>
      <c r="X173" s="293">
        <v>1210000</v>
      </c>
      <c r="Y173" s="293">
        <v>1087000</v>
      </c>
      <c r="Z173" s="293">
        <v>968000</v>
      </c>
      <c r="AA173" s="293">
        <v>939000</v>
      </c>
      <c r="AB173" s="293">
        <v>939000</v>
      </c>
    </row>
    <row r="174" spans="10:28" ht="15" customHeight="1" x14ac:dyDescent="0.25">
      <c r="J174" s="291" t="str">
        <f xml:space="preserve"> _xll.EPMOlapMemberO("[COSTCENTER].[PARENTH1].[1001]","","1001","","000")</f>
        <v>1001</v>
      </c>
      <c r="K174" s="295" t="str">
        <f xml:space="preserve"> _xll.EPMOlapMemberO("[C_ACCOUNT].[PARENTH1].[A_2410305]","","A_2410305","","000")</f>
        <v>A_2410305</v>
      </c>
      <c r="L174" s="293" t="str">
        <f>_xll.EPMMemberDesc(K174)</f>
        <v>Taxes Payable - Sales Surtax (AP)</v>
      </c>
      <c r="M174" s="293">
        <v>0</v>
      </c>
      <c r="N174" s="293">
        <v>0</v>
      </c>
      <c r="O174" s="293">
        <v>0</v>
      </c>
      <c r="P174" s="293">
        <v>283000</v>
      </c>
      <c r="Q174" s="293">
        <v>266000</v>
      </c>
      <c r="R174" s="293">
        <v>270000</v>
      </c>
      <c r="S174" s="293">
        <v>271000</v>
      </c>
      <c r="T174" s="293">
        <v>301000</v>
      </c>
      <c r="U174" s="293">
        <v>340000</v>
      </c>
      <c r="V174" s="293">
        <v>355000</v>
      </c>
      <c r="W174" s="293">
        <v>362000</v>
      </c>
      <c r="X174" s="293">
        <v>379000</v>
      </c>
      <c r="Y174" s="293">
        <v>340000</v>
      </c>
      <c r="Z174" s="293">
        <v>303000</v>
      </c>
      <c r="AA174" s="293">
        <v>294000</v>
      </c>
      <c r="AB174" s="293">
        <v>294000</v>
      </c>
    </row>
    <row r="175" spans="10:28" ht="15" customHeight="1" x14ac:dyDescent="0.25">
      <c r="J175" s="291" t="str">
        <f xml:space="preserve"> _xll.EPMOlapMemberO("[COSTCENTER].[PARENTH1].[1001]","","1001","","000")</f>
        <v>1001</v>
      </c>
      <c r="K175" s="295" t="str">
        <f xml:space="preserve"> _xll.EPMOlapMemberO("[C_ACCOUNT].[PARENTH1].[A_2410310]","","A_2410310","","000")</f>
        <v>A_2410310</v>
      </c>
      <c r="L175" s="293" t="str">
        <f>_xll.EPMMemberDesc(K175)</f>
        <v>Taxes Payable - Utility Tax</v>
      </c>
      <c r="M175" s="293">
        <v>0</v>
      </c>
      <c r="N175" s="293">
        <v>0</v>
      </c>
      <c r="O175" s="293">
        <v>0</v>
      </c>
      <c r="P175" s="293">
        <v>4179000</v>
      </c>
      <c r="Q175" s="293">
        <v>3924000</v>
      </c>
      <c r="R175" s="293">
        <v>3987000</v>
      </c>
      <c r="S175" s="293">
        <v>3995000</v>
      </c>
      <c r="T175" s="293">
        <v>4449000</v>
      </c>
      <c r="U175" s="293">
        <v>5016000</v>
      </c>
      <c r="V175" s="293">
        <v>5240000</v>
      </c>
      <c r="W175" s="293">
        <v>5350000</v>
      </c>
      <c r="X175" s="293">
        <v>5592000</v>
      </c>
      <c r="Y175" s="293">
        <v>5020000</v>
      </c>
      <c r="Z175" s="293">
        <v>4472000</v>
      </c>
      <c r="AA175" s="293">
        <v>4337000</v>
      </c>
      <c r="AB175" s="293">
        <v>4337000</v>
      </c>
    </row>
    <row r="176" spans="10:28" ht="15" customHeight="1" x14ac:dyDescent="0.25">
      <c r="J176" s="291" t="str">
        <f xml:space="preserve"> _xll.EPMOlapMemberO("[COSTCENTER].[PARENTH1].[1001]","","1001","","000")</f>
        <v>1001</v>
      </c>
      <c r="K176" s="295" t="str">
        <f xml:space="preserve"> _xll.EPMOlapMemberO("[C_ACCOUNT].[PARENTH1].[A_2420300]","","A_2420300","","000")</f>
        <v>A_2420300</v>
      </c>
      <c r="L176" s="293" t="str">
        <f>_xll.EPMMemberDesc(K176)</f>
        <v>Misc Accru Liab-Vacation Liability</v>
      </c>
      <c r="M176" s="293">
        <v>0</v>
      </c>
      <c r="N176" s="293">
        <v>0</v>
      </c>
      <c r="O176" s="293">
        <v>0</v>
      </c>
      <c r="P176" s="293">
        <v>24972766.666666701</v>
      </c>
      <c r="Q176" s="293">
        <v>25013933.333333299</v>
      </c>
      <c r="R176" s="293">
        <v>25055100</v>
      </c>
      <c r="S176" s="293">
        <v>25096266.666666701</v>
      </c>
      <c r="T176" s="293">
        <v>25137433.333333299</v>
      </c>
      <c r="U176" s="293">
        <v>25178600</v>
      </c>
      <c r="V176" s="293">
        <v>25219766.666666701</v>
      </c>
      <c r="W176" s="293">
        <v>25260933.333333299</v>
      </c>
      <c r="X176" s="293">
        <v>25302100</v>
      </c>
      <c r="Y176" s="293">
        <v>25343266.666666701</v>
      </c>
      <c r="Z176" s="293">
        <v>25384433.333333299</v>
      </c>
      <c r="AA176" s="293">
        <v>25295600</v>
      </c>
      <c r="AB176" s="293">
        <v>25295600</v>
      </c>
    </row>
    <row r="177" spans="10:28" ht="15" customHeight="1" x14ac:dyDescent="0.2">
      <c r="J177" s="286" t="str">
        <f xml:space="preserve"> _xll.EPMOlapMemberO("[COSTCENTER].[PARENTH1].[1001]","","1001","","000")</f>
        <v>1001</v>
      </c>
      <c r="K177" s="294" t="str">
        <f xml:space="preserve"> _xll.EPMOlapMemberO("[C_ACCOUNT].[PARENTH1].[TP_INTCO]","","TP_INTCO","","000")</f>
        <v>TP_INTCO</v>
      </c>
      <c r="L177" s="286" t="str">
        <f>_xll.EPMMemberDesc(K177)</f>
        <v>Trade Payable - Intercompany</v>
      </c>
      <c r="M177" s="287">
        <v>0</v>
      </c>
      <c r="N177" s="287">
        <v>0</v>
      </c>
      <c r="O177" s="287">
        <v>0</v>
      </c>
      <c r="P177" s="287">
        <v>18493044.18</v>
      </c>
      <c r="Q177" s="287">
        <v>18493044.18</v>
      </c>
      <c r="R177" s="287">
        <v>18493044.18</v>
      </c>
      <c r="S177" s="287">
        <v>18493044.18</v>
      </c>
      <c r="T177" s="287">
        <v>18493044.18</v>
      </c>
      <c r="U177" s="287">
        <v>18493044.18</v>
      </c>
      <c r="V177" s="287">
        <v>18493044.18</v>
      </c>
      <c r="W177" s="287">
        <v>18493044.18</v>
      </c>
      <c r="X177" s="287">
        <v>18493044.18</v>
      </c>
      <c r="Y177" s="287">
        <v>18493044.18</v>
      </c>
      <c r="Z177" s="287">
        <v>18493044.18</v>
      </c>
      <c r="AA177" s="287">
        <v>18493044.18</v>
      </c>
      <c r="AB177" s="287">
        <v>18493044.18</v>
      </c>
    </row>
    <row r="178" spans="10:28" ht="15" customHeight="1" x14ac:dyDescent="0.25">
      <c r="J178" s="291" t="str">
        <f xml:space="preserve"> _xll.EPMOlapMemberO("[COSTCENTER].[PARENTH1].[1001]","","1001","","000")</f>
        <v>1001</v>
      </c>
      <c r="K178" s="295" t="str">
        <f xml:space="preserve"> _xll.EPMOlapMemberO("[C_ACCOUNT].[PARENTH1].[A_2340700]","","A_2340700","","000")</f>
        <v>A_2340700</v>
      </c>
      <c r="L178" s="293" t="str">
        <f>_xll.EPMMemberDesc(K178)</f>
        <v>Trade Payable-Intercompany (RECON)</v>
      </c>
      <c r="M178" s="293">
        <v>0</v>
      </c>
      <c r="N178" s="293">
        <v>0</v>
      </c>
      <c r="O178" s="293">
        <v>0</v>
      </c>
      <c r="P178" s="293">
        <v>4051008.14</v>
      </c>
      <c r="Q178" s="293">
        <v>4051008.14</v>
      </c>
      <c r="R178" s="293">
        <v>4051008.14</v>
      </c>
      <c r="S178" s="293">
        <v>4051008.14</v>
      </c>
      <c r="T178" s="293">
        <v>4051008.14</v>
      </c>
      <c r="U178" s="293">
        <v>4051008.14</v>
      </c>
      <c r="V178" s="293">
        <v>4051008.14</v>
      </c>
      <c r="W178" s="293">
        <v>4051008.14</v>
      </c>
      <c r="X178" s="293">
        <v>4051008.14</v>
      </c>
      <c r="Y178" s="293">
        <v>4051008.14</v>
      </c>
      <c r="Z178" s="293">
        <v>4051008.14</v>
      </c>
      <c r="AA178" s="293">
        <v>4051008.14</v>
      </c>
      <c r="AB178" s="293">
        <v>4051008.14</v>
      </c>
    </row>
    <row r="179" spans="10:28" ht="15" customHeight="1" x14ac:dyDescent="0.25">
      <c r="J179" s="291" t="str">
        <f xml:space="preserve"> _xll.EPMOlapMemberO("[COSTCENTER].[PARENTH1].[1001]","","1001","","000")</f>
        <v>1001</v>
      </c>
      <c r="K179" s="295" t="str">
        <f xml:space="preserve"> _xll.EPMOlapMemberO("[C_ACCOUNT].[PARENTH1].[A_2340701]","","A_2340701","","000")</f>
        <v>A_2340701</v>
      </c>
      <c r="L179" s="293" t="str">
        <f>_xll.EPMMemberDesc(K179)</f>
        <v>Trade Payable-Intercompany (Posting)</v>
      </c>
      <c r="M179" s="293">
        <v>0</v>
      </c>
      <c r="N179" s="293">
        <v>0</v>
      </c>
      <c r="O179" s="293">
        <v>0</v>
      </c>
      <c r="P179" s="293">
        <v>127307.58</v>
      </c>
      <c r="Q179" s="293">
        <v>127307.58</v>
      </c>
      <c r="R179" s="293">
        <v>127307.58</v>
      </c>
      <c r="S179" s="293">
        <v>127307.58</v>
      </c>
      <c r="T179" s="293">
        <v>127307.58</v>
      </c>
      <c r="U179" s="293">
        <v>127307.58</v>
      </c>
      <c r="V179" s="293">
        <v>127307.58</v>
      </c>
      <c r="W179" s="293">
        <v>127307.58</v>
      </c>
      <c r="X179" s="293">
        <v>127307.58</v>
      </c>
      <c r="Y179" s="293">
        <v>127307.58</v>
      </c>
      <c r="Z179" s="293">
        <v>127307.58</v>
      </c>
      <c r="AA179" s="293">
        <v>127307.58</v>
      </c>
      <c r="AB179" s="293">
        <v>127307.58</v>
      </c>
    </row>
    <row r="180" spans="10:28" ht="15" customHeight="1" x14ac:dyDescent="0.25">
      <c r="J180" s="291" t="str">
        <f xml:space="preserve"> _xll.EPMOlapMemberO("[COSTCENTER].[PARENTH1].[1001]","","1001","","000")</f>
        <v>1001</v>
      </c>
      <c r="K180" s="295" t="str">
        <f xml:space="preserve"> _xll.EPMOlapMemberO("[C_ACCOUNT].[PARENTH1].[A_2340711]","","A_2340711","","000")</f>
        <v>A_2340711</v>
      </c>
      <c r="L180" s="293" t="str">
        <f>_xll.EPMMemberDesc(K180)</f>
        <v>Trade Payable-Emera Intercompany (Posting)</v>
      </c>
      <c r="M180" s="293">
        <v>0</v>
      </c>
      <c r="N180" s="293">
        <v>0</v>
      </c>
      <c r="O180" s="293">
        <v>0</v>
      </c>
      <c r="P180" s="293">
        <v>13953909.93</v>
      </c>
      <c r="Q180" s="293">
        <v>13953909.93</v>
      </c>
      <c r="R180" s="293">
        <v>13953909.93</v>
      </c>
      <c r="S180" s="293">
        <v>13953909.93</v>
      </c>
      <c r="T180" s="293">
        <v>13953909.93</v>
      </c>
      <c r="U180" s="293">
        <v>13953909.93</v>
      </c>
      <c r="V180" s="293">
        <v>13953909.93</v>
      </c>
      <c r="W180" s="293">
        <v>13953909.93</v>
      </c>
      <c r="X180" s="293">
        <v>13953909.93</v>
      </c>
      <c r="Y180" s="293">
        <v>13953909.93</v>
      </c>
      <c r="Z180" s="293">
        <v>13953909.93</v>
      </c>
      <c r="AA180" s="293">
        <v>13953909.93</v>
      </c>
      <c r="AB180" s="293">
        <v>13953909.93</v>
      </c>
    </row>
    <row r="181" spans="10:28" ht="15" customHeight="1" x14ac:dyDescent="0.25">
      <c r="J181" s="291" t="str">
        <f xml:space="preserve"> _xll.EPMOlapMemberO("[COSTCENTER].[PARENTH1].[1001]","","1001","","000")</f>
        <v>1001</v>
      </c>
      <c r="K181" s="295" t="str">
        <f xml:space="preserve"> _xll.EPMOlapMemberO("[C_ACCOUNT].[PARENTH1].[A_2340799]","","A_2340799","","000")</f>
        <v>A_2340799</v>
      </c>
      <c r="L181" s="293" t="str">
        <f>_xll.EPMMemberDesc(K181)</f>
        <v>Trade Payable-Emera Interco Accruals/Reversals</v>
      </c>
      <c r="M181" s="293">
        <v>0</v>
      </c>
      <c r="N181" s="293">
        <v>0</v>
      </c>
      <c r="O181" s="293">
        <v>0</v>
      </c>
      <c r="P181" s="293">
        <v>360818.53</v>
      </c>
      <c r="Q181" s="293">
        <v>360818.53</v>
      </c>
      <c r="R181" s="293">
        <v>360818.53</v>
      </c>
      <c r="S181" s="293">
        <v>360818.53</v>
      </c>
      <c r="T181" s="293">
        <v>360818.53</v>
      </c>
      <c r="U181" s="293">
        <v>360818.53</v>
      </c>
      <c r="V181" s="293">
        <v>360818.53</v>
      </c>
      <c r="W181" s="293">
        <v>360818.53</v>
      </c>
      <c r="X181" s="293">
        <v>360818.53</v>
      </c>
      <c r="Y181" s="293">
        <v>360818.53</v>
      </c>
      <c r="Z181" s="293">
        <v>360818.53</v>
      </c>
      <c r="AA181" s="293">
        <v>360818.53</v>
      </c>
      <c r="AB181" s="293">
        <v>360818.53</v>
      </c>
    </row>
    <row r="182" spans="10:28" ht="15" customHeight="1" x14ac:dyDescent="0.2">
      <c r="J182" s="286" t="str">
        <f xml:space="preserve"> _xll.EPMOlapMemberO("[COSTCENTER].[PARENTH1].[1001]","","1001","","000")</f>
        <v>1001</v>
      </c>
      <c r="K182" s="290" t="str">
        <f xml:space="preserve"> _xll.EPMOlapMemberO("[C_ACCOUNT].[PARENTH1].[CUSTOMER_DEPOSITS]","","CUSTOMER_DEPOSITS","","000")</f>
        <v>CUSTOMER_DEPOSITS</v>
      </c>
      <c r="L182" s="286" t="str">
        <f>_xll.EPMMemberDesc(K182)</f>
        <v>Customer Deposits</v>
      </c>
      <c r="M182" s="287">
        <v>0</v>
      </c>
      <c r="N182" s="287">
        <v>0</v>
      </c>
      <c r="O182" s="287">
        <v>0</v>
      </c>
      <c r="P182" s="287">
        <v>104753532.142176</v>
      </c>
      <c r="Q182" s="287">
        <v>104797179.447235</v>
      </c>
      <c r="R182" s="287">
        <v>104840844.93867201</v>
      </c>
      <c r="S182" s="287">
        <v>104884528.624063</v>
      </c>
      <c r="T182" s="287">
        <v>104928230.510989</v>
      </c>
      <c r="U182" s="287">
        <v>104971950.60703599</v>
      </c>
      <c r="V182" s="287">
        <v>105015688.919789</v>
      </c>
      <c r="W182" s="287">
        <v>105059445.456839</v>
      </c>
      <c r="X182" s="287">
        <v>105103220.225779</v>
      </c>
      <c r="Y182" s="287">
        <v>105147013.23420601</v>
      </c>
      <c r="Z182" s="287">
        <v>105190824.489721</v>
      </c>
      <c r="AA182" s="287">
        <v>105234653.999925</v>
      </c>
      <c r="AB182" s="287">
        <v>105234653.999925</v>
      </c>
    </row>
    <row r="183" spans="10:28" ht="15" customHeight="1" x14ac:dyDescent="0.25">
      <c r="J183" s="291" t="str">
        <f xml:space="preserve"> _xll.EPMOlapMemberO("[COSTCENTER].[PARENTH1].[1001]","","1001","","000")</f>
        <v>1001</v>
      </c>
      <c r="K183" s="292" t="str">
        <f xml:space="preserve"> _xll.EPMOlapMemberO("[C_ACCOUNT].[PARENTH1].[A_2350100]","","A_2350100","","000")</f>
        <v>A_2350100</v>
      </c>
      <c r="L183" s="293" t="str">
        <f>_xll.EPMMemberDesc(K183)</f>
        <v>CIS Customer Deposits Short-term</v>
      </c>
      <c r="M183" s="293">
        <v>0</v>
      </c>
      <c r="N183" s="293">
        <v>0</v>
      </c>
      <c r="O183" s="293">
        <v>0</v>
      </c>
      <c r="P183" s="293">
        <v>104753532.142176</v>
      </c>
      <c r="Q183" s="293">
        <v>104797179.447235</v>
      </c>
      <c r="R183" s="293">
        <v>104840844.93867201</v>
      </c>
      <c r="S183" s="293">
        <v>104884528.624063</v>
      </c>
      <c r="T183" s="293">
        <v>104928230.510989</v>
      </c>
      <c r="U183" s="293">
        <v>104971950.60703599</v>
      </c>
      <c r="V183" s="293">
        <v>105015688.919789</v>
      </c>
      <c r="W183" s="293">
        <v>105059445.456839</v>
      </c>
      <c r="X183" s="293">
        <v>105103220.225779</v>
      </c>
      <c r="Y183" s="293">
        <v>105147013.23420601</v>
      </c>
      <c r="Z183" s="293">
        <v>105190824.489721</v>
      </c>
      <c r="AA183" s="293">
        <v>105234653.999925</v>
      </c>
      <c r="AB183" s="293">
        <v>105234653.999925</v>
      </c>
    </row>
    <row r="184" spans="10:28" ht="15" customHeight="1" x14ac:dyDescent="0.2">
      <c r="J184" s="286" t="str">
        <f xml:space="preserve"> _xll.EPMOlapMemberO("[COSTCENTER].[PARENTH1].[1001]","","1001","","000")</f>
        <v>1001</v>
      </c>
      <c r="K184" s="290" t="str">
        <f xml:space="preserve"> _xll.EPMOlapMemberO("[C_ACCOUNT].[PARENTH1].[CUR_REG_LIA]","","CUR_REG_LIA","","000")</f>
        <v>CUR_REG_LIA</v>
      </c>
      <c r="L184" s="286" t="str">
        <f>_xll.EPMMemberDesc(K184)</f>
        <v>Current regulatory liabilities</v>
      </c>
      <c r="M184" s="287">
        <v>0</v>
      </c>
      <c r="N184" s="287">
        <v>0</v>
      </c>
      <c r="O184" s="287">
        <v>0</v>
      </c>
      <c r="P184" s="287">
        <v>32370424.420000002</v>
      </c>
      <c r="Q184" s="287">
        <v>30747920.420000002</v>
      </c>
      <c r="R184" s="287">
        <v>29070122.420000002</v>
      </c>
      <c r="S184" s="287">
        <v>27349658.420000002</v>
      </c>
      <c r="T184" s="287">
        <v>25997819.420000002</v>
      </c>
      <c r="U184" s="287">
        <v>25049302.420000002</v>
      </c>
      <c r="V184" s="287">
        <v>23782963.420000002</v>
      </c>
      <c r="W184" s="287">
        <v>22906876.420000002</v>
      </c>
      <c r="X184" s="287">
        <v>19679859.420000002</v>
      </c>
      <c r="Y184" s="287">
        <v>16747253.42</v>
      </c>
      <c r="Z184" s="287">
        <v>8733326.4199999999</v>
      </c>
      <c r="AA184" s="287">
        <v>8237823.4199999999</v>
      </c>
      <c r="AB184" s="287">
        <v>8237823.4199999999</v>
      </c>
    </row>
    <row r="185" spans="10:28" ht="15" customHeight="1" x14ac:dyDescent="0.2">
      <c r="J185" s="286" t="str">
        <f xml:space="preserve"> _xll.EPMOlapMemberO("[COSTCENTER].[PARENTH1].[1001]","","1001","","000")</f>
        <v>1001</v>
      </c>
      <c r="K185" s="294" t="str">
        <f xml:space="preserve"> _xll.EPMOlapMemberO("[C_ACCOUNT].[PARENTH1].[DEF_REC_CL_C]","","DEF_REC_CL_C","","000")</f>
        <v>DEF_REC_CL_C</v>
      </c>
      <c r="L185" s="286" t="str">
        <f>_xll.EPMMemberDesc(K185)</f>
        <v>Deferred recovery clause - current</v>
      </c>
      <c r="M185" s="287">
        <v>0</v>
      </c>
      <c r="N185" s="287">
        <v>0</v>
      </c>
      <c r="O185" s="287">
        <v>0</v>
      </c>
      <c r="P185" s="287">
        <v>16641702</v>
      </c>
      <c r="Q185" s="287">
        <v>15014198</v>
      </c>
      <c r="R185" s="287">
        <v>13331400</v>
      </c>
      <c r="S185" s="287">
        <v>11605936</v>
      </c>
      <c r="T185" s="287">
        <v>10249097</v>
      </c>
      <c r="U185" s="287">
        <v>9295580</v>
      </c>
      <c r="V185" s="287">
        <v>8024241</v>
      </c>
      <c r="W185" s="287">
        <v>7143154</v>
      </c>
      <c r="X185" s="287">
        <v>3911137</v>
      </c>
      <c r="Y185" s="287">
        <v>973531</v>
      </c>
      <c r="Z185" s="287">
        <v>-7045396</v>
      </c>
      <c r="AA185" s="287">
        <v>-7545899</v>
      </c>
      <c r="AB185" s="287">
        <v>-7545899</v>
      </c>
    </row>
    <row r="186" spans="10:28" ht="15" customHeight="1" x14ac:dyDescent="0.25">
      <c r="J186" s="291" t="str">
        <f xml:space="preserve"> _xll.EPMOlapMemberO("[COSTCENTER].[PARENTH1].[1001]","","1001","","000")</f>
        <v>1001</v>
      </c>
      <c r="K186" s="295" t="str">
        <f xml:space="preserve"> _xll.EPMOlapMemberO("[C_ACCOUNT].[PARENTH1].[A_2540020]","","A_2540020","","000")</f>
        <v>A_2540020</v>
      </c>
      <c r="L186" s="293" t="str">
        <f>_xll.EPMMemberDesc(K186)</f>
        <v>Oth Reg Liab-Fuel and Purchased Power Clause</v>
      </c>
      <c r="M186" s="293">
        <v>0</v>
      </c>
      <c r="N186" s="293">
        <v>0</v>
      </c>
      <c r="O186" s="293">
        <v>0</v>
      </c>
      <c r="P186" s="293">
        <v>0</v>
      </c>
      <c r="Q186" s="293">
        <v>0</v>
      </c>
      <c r="R186" s="293">
        <v>0</v>
      </c>
      <c r="S186" s="293">
        <v>0</v>
      </c>
      <c r="T186" s="293">
        <v>0</v>
      </c>
      <c r="U186" s="293">
        <v>0</v>
      </c>
      <c r="V186" s="293">
        <v>0</v>
      </c>
      <c r="W186" s="293">
        <v>0</v>
      </c>
      <c r="X186" s="293">
        <v>-2306139</v>
      </c>
      <c r="Y186" s="293">
        <v>-4606282</v>
      </c>
      <c r="Z186" s="293">
        <v>-11153521</v>
      </c>
      <c r="AA186" s="293">
        <v>-9822837</v>
      </c>
      <c r="AB186" s="293">
        <v>-9822837</v>
      </c>
    </row>
    <row r="187" spans="10:28" ht="15" customHeight="1" x14ac:dyDescent="0.25">
      <c r="J187" s="291" t="str">
        <f xml:space="preserve"> _xll.EPMOlapMemberO("[COSTCENTER].[PARENTH1].[1001]","","1001","","000")</f>
        <v>1001</v>
      </c>
      <c r="K187" s="295" t="str">
        <f xml:space="preserve"> _xll.EPMOlapMemberO("[C_ACCOUNT].[PARENTH1].[A_2540040]","","A_2540040","","000")</f>
        <v>A_2540040</v>
      </c>
      <c r="L187" s="293" t="str">
        <f>_xll.EPMMemberDesc(K187)</f>
        <v>Oth Reg Liab-Conservation Clause</v>
      </c>
      <c r="M187" s="293">
        <v>0</v>
      </c>
      <c r="N187" s="293">
        <v>0</v>
      </c>
      <c r="O187" s="293">
        <v>0</v>
      </c>
      <c r="P187" s="293">
        <v>16641702</v>
      </c>
      <c r="Q187" s="293">
        <v>15014198</v>
      </c>
      <c r="R187" s="293">
        <v>13331400</v>
      </c>
      <c r="S187" s="293">
        <v>11605936</v>
      </c>
      <c r="T187" s="293">
        <v>10249097</v>
      </c>
      <c r="U187" s="293">
        <v>9295580</v>
      </c>
      <c r="V187" s="293">
        <v>8024241</v>
      </c>
      <c r="W187" s="293">
        <v>7143154</v>
      </c>
      <c r="X187" s="293">
        <v>6217276</v>
      </c>
      <c r="Y187" s="293">
        <v>5152400</v>
      </c>
      <c r="Z187" s="293">
        <v>3686469</v>
      </c>
      <c r="AA187" s="293">
        <v>2055426</v>
      </c>
      <c r="AB187" s="293">
        <v>2055426</v>
      </c>
    </row>
    <row r="188" spans="10:28" ht="15" customHeight="1" x14ac:dyDescent="0.25">
      <c r="J188" s="291" t="str">
        <f xml:space="preserve"> _xll.EPMOlapMemberO("[COSTCENTER].[PARENTH1].[1001]","","1001","","000")</f>
        <v>1001</v>
      </c>
      <c r="K188" s="295" t="str">
        <f xml:space="preserve"> _xll.EPMOlapMemberO("[C_ACCOUNT].[PARENTH1].[A_2540050]","","A_2540050","","000")</f>
        <v>A_2540050</v>
      </c>
      <c r="L188" s="293" t="str">
        <f>_xll.EPMMemberDesc(K188)</f>
        <v>Oth Reg Liab-Environmental Clause</v>
      </c>
      <c r="M188" s="293">
        <v>0</v>
      </c>
      <c r="N188" s="293">
        <v>0</v>
      </c>
      <c r="O188" s="293">
        <v>0</v>
      </c>
      <c r="P188" s="293">
        <v>0</v>
      </c>
      <c r="Q188" s="293">
        <v>0</v>
      </c>
      <c r="R188" s="293">
        <v>0</v>
      </c>
      <c r="S188" s="293">
        <v>0</v>
      </c>
      <c r="T188" s="293">
        <v>0</v>
      </c>
      <c r="U188" s="293">
        <v>0</v>
      </c>
      <c r="V188" s="293">
        <v>0</v>
      </c>
      <c r="W188" s="293">
        <v>0</v>
      </c>
      <c r="X188" s="293">
        <v>0</v>
      </c>
      <c r="Y188" s="293">
        <v>427413</v>
      </c>
      <c r="Z188" s="293">
        <v>421656</v>
      </c>
      <c r="AA188" s="293">
        <v>221512</v>
      </c>
      <c r="AB188" s="293">
        <v>221512</v>
      </c>
    </row>
    <row r="189" spans="10:28" ht="15" customHeight="1" x14ac:dyDescent="0.2">
      <c r="J189" s="286" t="str">
        <f xml:space="preserve"> _xll.EPMOlapMemberO("[COSTCENTER].[PARENTH1].[1001]","","1001","","000")</f>
        <v>1001</v>
      </c>
      <c r="K189" s="294" t="str">
        <f xml:space="preserve"> _xll.EPMOlapMemberO("[C_ACCOUNT].[PARENTH1].[OTH_REG_LIA_C]","","OTH_REG_LIA_C","","000")</f>
        <v>OTH_REG_LIA_C</v>
      </c>
      <c r="L189" s="286" t="str">
        <f>_xll.EPMMemberDesc(K189)</f>
        <v>Other regulatory liabilities - current</v>
      </c>
      <c r="M189" s="287">
        <v>0</v>
      </c>
      <c r="N189" s="287">
        <v>0</v>
      </c>
      <c r="O189" s="287">
        <v>0</v>
      </c>
      <c r="P189" s="287">
        <v>15728722.42</v>
      </c>
      <c r="Q189" s="287">
        <v>15733722.42</v>
      </c>
      <c r="R189" s="287">
        <v>15738722.42</v>
      </c>
      <c r="S189" s="287">
        <v>15743722.42</v>
      </c>
      <c r="T189" s="287">
        <v>15748722.42</v>
      </c>
      <c r="U189" s="287">
        <v>15753722.42</v>
      </c>
      <c r="V189" s="287">
        <v>15758722.42</v>
      </c>
      <c r="W189" s="287">
        <v>15763722.42</v>
      </c>
      <c r="X189" s="287">
        <v>15768722.42</v>
      </c>
      <c r="Y189" s="287">
        <v>15773722.42</v>
      </c>
      <c r="Z189" s="287">
        <v>15778722.42</v>
      </c>
      <c r="AA189" s="287">
        <v>15783722.42</v>
      </c>
      <c r="AB189" s="287">
        <v>15783722.42</v>
      </c>
    </row>
    <row r="190" spans="10:28" ht="15" customHeight="1" x14ac:dyDescent="0.25">
      <c r="J190" s="291" t="str">
        <f xml:space="preserve"> _xll.EPMOlapMemberO("[COSTCENTER].[PARENTH1].[1001]","","1001","","000")</f>
        <v>1001</v>
      </c>
      <c r="K190" s="295" t="str">
        <f xml:space="preserve"> _xll.EPMOlapMemberO("[C_ACCOUNT].[PARENTH1].[A_1080110]","","A_1080110","","000")</f>
        <v>A_1080110</v>
      </c>
      <c r="L190" s="293" t="str">
        <f>_xll.EPMMemberDesc(K190)</f>
        <v>Accum Reserve Cost of Removal Contra- Current</v>
      </c>
      <c r="M190" s="293">
        <v>0</v>
      </c>
      <c r="N190" s="293">
        <v>0</v>
      </c>
      <c r="O190" s="293">
        <v>0</v>
      </c>
      <c r="P190" s="293">
        <v>15728722.42</v>
      </c>
      <c r="Q190" s="293">
        <v>15733722.42</v>
      </c>
      <c r="R190" s="293">
        <v>15738722.42</v>
      </c>
      <c r="S190" s="293">
        <v>15743722.42</v>
      </c>
      <c r="T190" s="293">
        <v>15748722.42</v>
      </c>
      <c r="U190" s="293">
        <v>15753722.42</v>
      </c>
      <c r="V190" s="293">
        <v>15758722.42</v>
      </c>
      <c r="W190" s="293">
        <v>15763722.42</v>
      </c>
      <c r="X190" s="293">
        <v>15768722.42</v>
      </c>
      <c r="Y190" s="293">
        <v>15773722.42</v>
      </c>
      <c r="Z190" s="293">
        <v>15778722.42</v>
      </c>
      <c r="AA190" s="293">
        <v>15783722.42</v>
      </c>
      <c r="AB190" s="293">
        <v>15783722.42</v>
      </c>
    </row>
    <row r="191" spans="10:28" ht="15" customHeight="1" x14ac:dyDescent="0.2">
      <c r="J191" s="286" t="str">
        <f xml:space="preserve"> _xll.EPMOlapMemberO("[COSTCENTER].[PARENTH1].[1001]","","1001","","000")</f>
        <v>1001</v>
      </c>
      <c r="K191" s="290" t="str">
        <f xml:space="preserve"> _xll.EPMOlapMemberO("[C_ACCOUNT].[PARENTH1].[INTEREST_ACCRUED]","","INTEREST_ACCRUED","","000")</f>
        <v>INTEREST_ACCRUED</v>
      </c>
      <c r="L191" s="286" t="str">
        <f>_xll.EPMMemberDesc(K191)</f>
        <v>Interest accrued</v>
      </c>
      <c r="M191" s="287">
        <v>0</v>
      </c>
      <c r="N191" s="287">
        <v>0</v>
      </c>
      <c r="O191" s="287">
        <v>0</v>
      </c>
      <c r="P191" s="287">
        <v>22830686.470004302</v>
      </c>
      <c r="Q191" s="287">
        <v>33431069.2041413</v>
      </c>
      <c r="R191" s="287">
        <v>41072964.315213397</v>
      </c>
      <c r="S191" s="287">
        <v>51670725.199919201</v>
      </c>
      <c r="T191" s="287">
        <v>30751884.189972699</v>
      </c>
      <c r="U191" s="287">
        <v>12324387.8721033</v>
      </c>
      <c r="V191" s="287">
        <v>23030010.561388899</v>
      </c>
      <c r="W191" s="287">
        <v>33677675.644589499</v>
      </c>
      <c r="X191" s="287">
        <v>41393121.070147</v>
      </c>
      <c r="Y191" s="287">
        <v>52062665.784851797</v>
      </c>
      <c r="Z191" s="287">
        <v>37629030.473843202</v>
      </c>
      <c r="AA191" s="287">
        <v>11278399.5387109</v>
      </c>
      <c r="AB191" s="287">
        <v>11278399.5387109</v>
      </c>
    </row>
    <row r="192" spans="10:28" ht="15" customHeight="1" x14ac:dyDescent="0.2">
      <c r="J192" s="286" t="str">
        <f xml:space="preserve"> _xll.EPMOlapMemberO("[COSTCENTER].[PARENTH1].[1001]","","1001","","000")</f>
        <v>1001</v>
      </c>
      <c r="K192" s="294" t="str">
        <f xml:space="preserve"> _xll.EPMOlapMemberO("[C_ACCOUNT].[PARENTH1].[INTEREST_PAYABLE_IC]","","Interest_Payable_IC","","000")</f>
        <v>Interest_Payable_IC</v>
      </c>
      <c r="L192" s="286" t="str">
        <f>_xll.EPMMemberDesc(K192)</f>
        <v>Interest payable</v>
      </c>
      <c r="M192" s="287">
        <v>0</v>
      </c>
      <c r="N192" s="287">
        <v>0</v>
      </c>
      <c r="O192" s="287">
        <v>0</v>
      </c>
      <c r="P192" s="287">
        <v>22830686.470004302</v>
      </c>
      <c r="Q192" s="287">
        <v>33431069.2041413</v>
      </c>
      <c r="R192" s="287">
        <v>41072964.315213397</v>
      </c>
      <c r="S192" s="287">
        <v>51670725.199919201</v>
      </c>
      <c r="T192" s="287">
        <v>30751884.189972699</v>
      </c>
      <c r="U192" s="287">
        <v>12324387.8721033</v>
      </c>
      <c r="V192" s="287">
        <v>23030010.561388899</v>
      </c>
      <c r="W192" s="287">
        <v>33677675.644589499</v>
      </c>
      <c r="X192" s="287">
        <v>41393121.070147</v>
      </c>
      <c r="Y192" s="287">
        <v>52062665.784851797</v>
      </c>
      <c r="Z192" s="287">
        <v>37629030.473843202</v>
      </c>
      <c r="AA192" s="287">
        <v>11278399.5387109</v>
      </c>
      <c r="AB192" s="287">
        <v>11278399.5387109</v>
      </c>
    </row>
    <row r="193" spans="10:28" ht="15" customHeight="1" x14ac:dyDescent="0.25">
      <c r="J193" s="291" t="str">
        <f xml:space="preserve"> _xll.EPMOlapMemberO("[COSTCENTER].[PARENTH1].[1001]","","1001","","000")</f>
        <v>1001</v>
      </c>
      <c r="K193" s="295" t="str">
        <f xml:space="preserve"> _xll.EPMOlapMemberO("[C_ACCOUNT].[PARENTH1].[A_2370300]","","A_2370300","","000")</f>
        <v>A_2370300</v>
      </c>
      <c r="L193" s="293" t="str">
        <f>_xll.EPMMemberDesc(K193)</f>
        <v>Interest Accrued on Customer Deposits</v>
      </c>
      <c r="M193" s="293">
        <v>0</v>
      </c>
      <c r="N193" s="293">
        <v>0</v>
      </c>
      <c r="O193" s="293">
        <v>0</v>
      </c>
      <c r="P193" s="293">
        <v>280975.13828999997</v>
      </c>
      <c r="Q193" s="293">
        <v>476613.50242700003</v>
      </c>
      <c r="R193" s="293">
        <v>672339.94349910005</v>
      </c>
      <c r="S193" s="293">
        <v>868154.49820489995</v>
      </c>
      <c r="T193" s="293">
        <v>1064057.2032584001</v>
      </c>
      <c r="U193" s="293">
        <v>1260048.0953889999</v>
      </c>
      <c r="V193" s="293">
        <v>1456127.2113413</v>
      </c>
      <c r="W193" s="293">
        <v>1652294.5878752</v>
      </c>
      <c r="X193" s="293">
        <v>1848550.261766</v>
      </c>
      <c r="Y193" s="293">
        <v>2044894.2698041999</v>
      </c>
      <c r="Z193" s="293">
        <v>2241326.6487956</v>
      </c>
      <c r="AA193" s="293">
        <v>85852.918663300006</v>
      </c>
      <c r="AB193" s="293">
        <v>85852.918663300006</v>
      </c>
    </row>
    <row r="194" spans="10:28" ht="15" customHeight="1" x14ac:dyDescent="0.25">
      <c r="J194" s="291" t="str">
        <f xml:space="preserve"> _xll.EPMOlapMemberO("[COSTCENTER].[PARENTH1].[1001]","","1001","","000")</f>
        <v>1001</v>
      </c>
      <c r="K194" s="295" t="str">
        <f xml:space="preserve"> _xll.EPMOlapMemberO("[C_ACCOUNT].[PARENTH1].[A_2370350]","","A_2370350","","000")</f>
        <v>A_2370350</v>
      </c>
      <c r="L194" s="293" t="str">
        <f>_xll.EPMMemberDesc(K194)</f>
        <v>Interest Accrued on Credit Facility</v>
      </c>
      <c r="M194" s="293">
        <v>0</v>
      </c>
      <c r="N194" s="293">
        <v>0</v>
      </c>
      <c r="O194" s="293">
        <v>0</v>
      </c>
      <c r="P194" s="293">
        <v>284953.09999999998</v>
      </c>
      <c r="Q194" s="293">
        <v>315845.09999999998</v>
      </c>
      <c r="R194" s="293">
        <v>331038.09999999998</v>
      </c>
      <c r="S194" s="293">
        <v>358721.1</v>
      </c>
      <c r="T194" s="293">
        <v>241162.1</v>
      </c>
      <c r="U194" s="293">
        <v>164477.1</v>
      </c>
      <c r="V194" s="293">
        <v>194421.63333330001</v>
      </c>
      <c r="W194" s="293">
        <v>166320.29999999999</v>
      </c>
      <c r="X194" s="293">
        <v>150020.5916667</v>
      </c>
      <c r="Y194" s="293">
        <v>143622.25833330001</v>
      </c>
      <c r="Z194" s="293">
        <v>201661.00833330001</v>
      </c>
      <c r="AA194" s="293">
        <v>292478.38333330001</v>
      </c>
      <c r="AB194" s="293">
        <v>292478.38333330001</v>
      </c>
    </row>
    <row r="195" spans="10:28" ht="15" customHeight="1" x14ac:dyDescent="0.25">
      <c r="J195" s="291" t="str">
        <f xml:space="preserve"> _xll.EPMOlapMemberO("[COSTCENTER].[PARENTH1].[1001]","","1001","","000")</f>
        <v>1001</v>
      </c>
      <c r="K195" s="295" t="str">
        <f xml:space="preserve"> _xll.EPMOlapMemberO("[C_ACCOUNT].[PARENTH1].[A_2370400]","","A_2370400","","000")</f>
        <v>A_2370400</v>
      </c>
      <c r="L195" s="293" t="str">
        <f>_xll.EPMMemberDesc(K195)</f>
        <v>Interest Accrued Long Term Debt</v>
      </c>
      <c r="M195" s="293">
        <v>0</v>
      </c>
      <c r="N195" s="293">
        <v>0</v>
      </c>
      <c r="O195" s="293">
        <v>0</v>
      </c>
      <c r="P195" s="293">
        <v>22264758.231714301</v>
      </c>
      <c r="Q195" s="293">
        <v>32638610.601714302</v>
      </c>
      <c r="R195" s="293">
        <v>40069586.2717143</v>
      </c>
      <c r="S195" s="293">
        <v>50443849.601714298</v>
      </c>
      <c r="T195" s="293">
        <v>29446664.886714298</v>
      </c>
      <c r="U195" s="293">
        <v>10899862.676714299</v>
      </c>
      <c r="V195" s="293">
        <v>21379461.7167143</v>
      </c>
      <c r="W195" s="293">
        <v>31859060.756714299</v>
      </c>
      <c r="X195" s="293">
        <v>39394550.2167143</v>
      </c>
      <c r="Y195" s="293">
        <v>49874149.256714299</v>
      </c>
      <c r="Z195" s="293">
        <v>35186042.816714302</v>
      </c>
      <c r="AA195" s="293">
        <v>10900068.2367143</v>
      </c>
      <c r="AB195" s="293">
        <v>10900068.2367143</v>
      </c>
    </row>
    <row r="196" spans="10:28" ht="15" customHeight="1" x14ac:dyDescent="0.2">
      <c r="J196" s="286" t="str">
        <f xml:space="preserve"> _xll.EPMOlapMemberO("[COSTCENTER].[PARENTH1].[1001]","","1001","","000")</f>
        <v>1001</v>
      </c>
      <c r="K196" s="290" t="str">
        <f xml:space="preserve"> _xll.EPMOlapMemberO("[C_ACCOUNT].[PARENTH1].[TAXES_ACCRUED]","","TAXES_ACCRUED","","000")</f>
        <v>TAXES_ACCRUED</v>
      </c>
      <c r="L196" s="286" t="str">
        <f>_xll.EPMMemberDesc(K196)</f>
        <v>Taxes accrued</v>
      </c>
      <c r="M196" s="287">
        <v>0</v>
      </c>
      <c r="N196" s="287">
        <v>0</v>
      </c>
      <c r="O196" s="287">
        <v>0</v>
      </c>
      <c r="P196" s="287">
        <v>11416233.308151601</v>
      </c>
      <c r="Q196" s="287">
        <v>7804701.0232213996</v>
      </c>
      <c r="R196" s="287">
        <v>11172758.4754426</v>
      </c>
      <c r="S196" s="287">
        <v>11393032.981367299</v>
      </c>
      <c r="T196" s="287">
        <v>20400798.147674799</v>
      </c>
      <c r="U196" s="287">
        <v>29447331.648014698</v>
      </c>
      <c r="V196" s="287">
        <v>42069389.979545601</v>
      </c>
      <c r="W196" s="287">
        <v>55076167.552430503</v>
      </c>
      <c r="X196" s="287">
        <v>64754423.288770102</v>
      </c>
      <c r="Y196" s="287">
        <v>73036306.567098796</v>
      </c>
      <c r="Z196" s="287">
        <v>7528423.7720547002</v>
      </c>
      <c r="AA196" s="287">
        <v>8516304.6515593007</v>
      </c>
      <c r="AB196" s="287">
        <v>8516304.6515593007</v>
      </c>
    </row>
    <row r="197" spans="10:28" ht="15" customHeight="1" x14ac:dyDescent="0.2">
      <c r="J197" s="286" t="str">
        <f xml:space="preserve"> _xll.EPMOlapMemberO("[COSTCENTER].[PARENTH1].[1001]","","1001","","000")</f>
        <v>1001</v>
      </c>
      <c r="K197" s="294" t="str">
        <f xml:space="preserve"> _xll.EPMOlapMemberO("[C_ACCOUNT].[PARENTH1].[TAXES_ACC_FED]","","TAXES_ACC_FED","","000")</f>
        <v>TAXES_ACC_FED</v>
      </c>
      <c r="L197" s="286" t="str">
        <f>_xll.EPMMemberDesc(K197)</f>
        <v>Taxes accrued - Federal</v>
      </c>
      <c r="M197" s="287">
        <v>0</v>
      </c>
      <c r="N197" s="287">
        <v>0</v>
      </c>
      <c r="O197" s="287">
        <v>0</v>
      </c>
      <c r="P197" s="287">
        <v>-3001986.5605155998</v>
      </c>
      <c r="Q197" s="287">
        <v>-11684516.696531201</v>
      </c>
      <c r="R197" s="287">
        <v>-14126353.0059532</v>
      </c>
      <c r="S197" s="287">
        <v>-19640837.2184688</v>
      </c>
      <c r="T197" s="287">
        <v>-17291423.969084401</v>
      </c>
      <c r="U197" s="287">
        <v>-15443734.3332</v>
      </c>
      <c r="V197" s="287">
        <v>-8507442.7857156005</v>
      </c>
      <c r="W197" s="287">
        <v>-1373935.1226311999</v>
      </c>
      <c r="X197" s="287">
        <v>1939845.2422531999</v>
      </c>
      <c r="Y197" s="287">
        <v>5228117.3563312003</v>
      </c>
      <c r="Z197" s="287">
        <v>4796167.2645156002</v>
      </c>
      <c r="AA197" s="287">
        <v>-0.59876180000000001</v>
      </c>
      <c r="AB197" s="287">
        <v>-0.59876180000000001</v>
      </c>
    </row>
    <row r="198" spans="10:28" ht="15" customHeight="1" x14ac:dyDescent="0.25">
      <c r="J198" s="291" t="str">
        <f xml:space="preserve"> _xll.EPMOlapMemberO("[COSTCENTER].[PARENTH1].[1001]","","1001","","000")</f>
        <v>1001</v>
      </c>
      <c r="K198" s="295" t="str">
        <f xml:space="preserve"> _xll.EPMOlapMemberO("[C_ACCOUNT].[PARENTH1].[A_2360310]","","A_2360310","","000")</f>
        <v>A_2360310</v>
      </c>
      <c r="L198" s="293" t="str">
        <f>_xll.EPMMemberDesc(K198)</f>
        <v>Income Tax Pay - Federal Current Year</v>
      </c>
      <c r="M198" s="293">
        <v>0</v>
      </c>
      <c r="N198" s="293">
        <v>0</v>
      </c>
      <c r="O198" s="293">
        <v>0</v>
      </c>
      <c r="P198" s="293">
        <v>-3001986.5605155998</v>
      </c>
      <c r="Q198" s="293">
        <v>-11684516.696531201</v>
      </c>
      <c r="R198" s="293">
        <v>-14126353.0059532</v>
      </c>
      <c r="S198" s="293">
        <v>-19640837.2184688</v>
      </c>
      <c r="T198" s="293">
        <v>-17291423.969084401</v>
      </c>
      <c r="U198" s="293">
        <v>-15443734.3332</v>
      </c>
      <c r="V198" s="293">
        <v>-8507442.7857156005</v>
      </c>
      <c r="W198" s="293">
        <v>-1373935.1226311999</v>
      </c>
      <c r="X198" s="293">
        <v>1939845.2422531999</v>
      </c>
      <c r="Y198" s="293">
        <v>5228117.3563312003</v>
      </c>
      <c r="Z198" s="293">
        <v>4796167.2645156002</v>
      </c>
      <c r="AA198" s="293">
        <v>-0.59876180000000001</v>
      </c>
      <c r="AB198" s="293">
        <v>-0.59876180000000001</v>
      </c>
    </row>
    <row r="199" spans="10:28" ht="15" customHeight="1" x14ac:dyDescent="0.2">
      <c r="J199" s="286" t="str">
        <f xml:space="preserve"> _xll.EPMOlapMemberO("[COSTCENTER].[PARENTH1].[1001]","","1001","","000")</f>
        <v>1001</v>
      </c>
      <c r="K199" s="294" t="str">
        <f xml:space="preserve"> _xll.EPMOlapMemberO("[C_ACCOUNT].[PARENTH1].[TAXES_ACC_ST]","","TAXES_ACC_ST","","000")</f>
        <v>TAXES_ACC_ST</v>
      </c>
      <c r="L199" s="286" t="str">
        <f>_xll.EPMMemberDesc(K199)</f>
        <v>Taxes accrued - State</v>
      </c>
      <c r="M199" s="287">
        <v>0</v>
      </c>
      <c r="N199" s="287">
        <v>0</v>
      </c>
      <c r="O199" s="287">
        <v>0</v>
      </c>
      <c r="P199" s="287">
        <v>512354.00007429998</v>
      </c>
      <c r="Q199" s="287">
        <v>512354.00014860003</v>
      </c>
      <c r="R199" s="287">
        <v>512353.99977709999</v>
      </c>
      <c r="S199" s="287">
        <v>0.99985139999999995</v>
      </c>
      <c r="T199" s="287">
        <v>0.99992570000000003</v>
      </c>
      <c r="U199" s="287">
        <v>0</v>
      </c>
      <c r="V199" s="287">
        <v>7.4300000000000004E-5</v>
      </c>
      <c r="W199" s="287">
        <v>1.4860000000000001E-4</v>
      </c>
      <c r="X199" s="287">
        <v>2.229E-4</v>
      </c>
      <c r="Y199" s="287">
        <v>-1.4860000000000001E-4</v>
      </c>
      <c r="Z199" s="287">
        <v>-7.4300000000000004E-5</v>
      </c>
      <c r="AA199" s="287">
        <v>4.4580000000000002E-2</v>
      </c>
      <c r="AB199" s="287">
        <v>4.4580000000000002E-2</v>
      </c>
    </row>
    <row r="200" spans="10:28" ht="15" customHeight="1" x14ac:dyDescent="0.25">
      <c r="J200" s="291" t="str">
        <f xml:space="preserve"> _xll.EPMOlapMemberO("[COSTCENTER].[PARENTH1].[1001]","","1001","","000")</f>
        <v>1001</v>
      </c>
      <c r="K200" s="295" t="str">
        <f xml:space="preserve"> _xll.EPMOlapMemberO("[C_ACCOUNT].[PARENTH1].[A_2360410]","","A_2360410","","000")</f>
        <v>A_2360410</v>
      </c>
      <c r="L200" s="293" t="str">
        <f>_xll.EPMMemberDesc(K200)</f>
        <v>Income Tax Pay - State Current Year</v>
      </c>
      <c r="M200" s="293">
        <v>0</v>
      </c>
      <c r="N200" s="293">
        <v>0</v>
      </c>
      <c r="O200" s="293">
        <v>0</v>
      </c>
      <c r="P200" s="293">
        <v>512354.00007429998</v>
      </c>
      <c r="Q200" s="293">
        <v>512354.00014860003</v>
      </c>
      <c r="R200" s="293">
        <v>512353.99977709999</v>
      </c>
      <c r="S200" s="293">
        <v>0.99985139999999995</v>
      </c>
      <c r="T200" s="293">
        <v>0.99992570000000003</v>
      </c>
      <c r="U200" s="293">
        <v>0</v>
      </c>
      <c r="V200" s="293">
        <v>7.4300000000000004E-5</v>
      </c>
      <c r="W200" s="293">
        <v>1.4860000000000001E-4</v>
      </c>
      <c r="X200" s="293">
        <v>2.229E-4</v>
      </c>
      <c r="Y200" s="293">
        <v>-1.4860000000000001E-4</v>
      </c>
      <c r="Z200" s="293">
        <v>-7.4300000000000004E-5</v>
      </c>
      <c r="AA200" s="293">
        <v>4.4580000000000002E-2</v>
      </c>
      <c r="AB200" s="293">
        <v>4.4580000000000002E-2</v>
      </c>
    </row>
    <row r="201" spans="10:28" ht="15" customHeight="1" x14ac:dyDescent="0.2">
      <c r="J201" s="286" t="str">
        <f xml:space="preserve"> _xll.EPMOlapMemberO("[COSTCENTER].[PARENTH1].[1001]","","1001","","000")</f>
        <v>1001</v>
      </c>
      <c r="K201" s="294" t="str">
        <f xml:space="preserve"> _xll.EPMOlapMemberO("[C_ACCOUNT].[PARENTH1].[TAXES_ACC_OTH]","","TAXES_ACC_OTH","","000")</f>
        <v>TAXES_ACC_OTH</v>
      </c>
      <c r="L201" s="286" t="str">
        <f>_xll.EPMMemberDesc(K201)</f>
        <v>Taxes accrued - Other</v>
      </c>
      <c r="M201" s="287">
        <v>0</v>
      </c>
      <c r="N201" s="287">
        <v>0</v>
      </c>
      <c r="O201" s="287">
        <v>0</v>
      </c>
      <c r="P201" s="287">
        <v>13905865.868592899</v>
      </c>
      <c r="Q201" s="287">
        <v>18976863.719604</v>
      </c>
      <c r="R201" s="287">
        <v>24786757.481618699</v>
      </c>
      <c r="S201" s="287">
        <v>31033869.199984699</v>
      </c>
      <c r="T201" s="287">
        <v>37692221.116833501</v>
      </c>
      <c r="U201" s="287">
        <v>44891065.981214702</v>
      </c>
      <c r="V201" s="287">
        <v>50576832.765186898</v>
      </c>
      <c r="W201" s="287">
        <v>56450102.674913101</v>
      </c>
      <c r="X201" s="287">
        <v>62814578.046294004</v>
      </c>
      <c r="Y201" s="287">
        <v>67808189.210916206</v>
      </c>
      <c r="Z201" s="287">
        <v>2732256.5076134</v>
      </c>
      <c r="AA201" s="287">
        <v>8516305.2057411</v>
      </c>
      <c r="AB201" s="287">
        <v>8516305.2057411</v>
      </c>
    </row>
    <row r="202" spans="10:28" ht="15" customHeight="1" x14ac:dyDescent="0.25">
      <c r="J202" s="291" t="str">
        <f xml:space="preserve"> _xll.EPMOlapMemberO("[COSTCENTER].[PARENTH1].[1001]","","1001","","000")</f>
        <v>1001</v>
      </c>
      <c r="K202" s="295" t="str">
        <f xml:space="preserve"> _xll.EPMOlapMemberO("[C_ACCOUNT].[PARENTH1].[A_2360600]","","A_2360600","","000")</f>
        <v>A_2360600</v>
      </c>
      <c r="L202" s="293" t="str">
        <f>_xll.EPMMemberDesc(K202)</f>
        <v>Taxes Payable - Unemployment - Federal</v>
      </c>
      <c r="M202" s="293">
        <v>0</v>
      </c>
      <c r="N202" s="293">
        <v>0</v>
      </c>
      <c r="O202" s="293">
        <v>0</v>
      </c>
      <c r="P202" s="293">
        <v>95000</v>
      </c>
      <c r="Q202" s="293">
        <v>5000</v>
      </c>
      <c r="R202" s="293">
        <v>0</v>
      </c>
      <c r="S202" s="293">
        <v>0</v>
      </c>
      <c r="T202" s="293">
        <v>0</v>
      </c>
      <c r="U202" s="293">
        <v>0</v>
      </c>
      <c r="V202" s="293">
        <v>0</v>
      </c>
      <c r="W202" s="293">
        <v>0</v>
      </c>
      <c r="X202" s="293">
        <v>0</v>
      </c>
      <c r="Y202" s="293">
        <v>0</v>
      </c>
      <c r="Z202" s="293">
        <v>0</v>
      </c>
      <c r="AA202" s="293">
        <v>0</v>
      </c>
      <c r="AB202" s="293">
        <v>0</v>
      </c>
    </row>
    <row r="203" spans="10:28" ht="15" customHeight="1" x14ac:dyDescent="0.25">
      <c r="J203" s="291" t="str">
        <f xml:space="preserve"> _xll.EPMOlapMemberO("[COSTCENTER].[PARENTH1].[1001]","","1001","","000")</f>
        <v>1001</v>
      </c>
      <c r="K203" s="295" t="str">
        <f xml:space="preserve"> _xll.EPMOlapMemberO("[C_ACCOUNT].[PARENTH1].[A_2360601]","","A_2360601","","000")</f>
        <v>A_2360601</v>
      </c>
      <c r="L203" s="293" t="str">
        <f>_xll.EPMMemberDesc(K203)</f>
        <v>Taxes Payable - Unemployment - State</v>
      </c>
      <c r="M203" s="293">
        <v>0</v>
      </c>
      <c r="N203" s="293">
        <v>0</v>
      </c>
      <c r="O203" s="293">
        <v>0</v>
      </c>
      <c r="P203" s="293">
        <v>12000</v>
      </c>
      <c r="Q203" s="293">
        <v>4000</v>
      </c>
      <c r="R203" s="293">
        <v>0</v>
      </c>
      <c r="S203" s="293">
        <v>0</v>
      </c>
      <c r="T203" s="293">
        <v>0</v>
      </c>
      <c r="U203" s="293">
        <v>0</v>
      </c>
      <c r="V203" s="293">
        <v>0</v>
      </c>
      <c r="W203" s="293">
        <v>0</v>
      </c>
      <c r="X203" s="293">
        <v>0</v>
      </c>
      <c r="Y203" s="293">
        <v>0</v>
      </c>
      <c r="Z203" s="293">
        <v>0</v>
      </c>
      <c r="AA203" s="293">
        <v>0</v>
      </c>
      <c r="AB203" s="293">
        <v>0</v>
      </c>
    </row>
    <row r="204" spans="10:28" ht="15" customHeight="1" x14ac:dyDescent="0.25">
      <c r="J204" s="291" t="str">
        <f xml:space="preserve"> _xll.EPMOlapMemberO("[COSTCENTER].[PARENTH1].[1001]","","1001","","000")</f>
        <v>1001</v>
      </c>
      <c r="K204" s="295" t="str">
        <f xml:space="preserve"> _xll.EPMOlapMemberO("[C_ACCOUNT].[PARENTH1].[A_2360602]","","A_2360602","","000")</f>
        <v>A_2360602</v>
      </c>
      <c r="L204" s="293" t="str">
        <f>_xll.EPMMemberDesc(K204)</f>
        <v>Taxes Payable - Regulatory Assessment Fee</v>
      </c>
      <c r="M204" s="293">
        <v>0</v>
      </c>
      <c r="N204" s="293">
        <v>0</v>
      </c>
      <c r="O204" s="293">
        <v>0</v>
      </c>
      <c r="P204" s="293">
        <v>107000</v>
      </c>
      <c r="Q204" s="293">
        <v>207000</v>
      </c>
      <c r="R204" s="293">
        <v>305000</v>
      </c>
      <c r="S204" s="293">
        <v>408000</v>
      </c>
      <c r="T204" s="293">
        <v>522000</v>
      </c>
      <c r="U204" s="293">
        <v>654000</v>
      </c>
      <c r="V204" s="293">
        <v>138000</v>
      </c>
      <c r="W204" s="293">
        <v>275000</v>
      </c>
      <c r="X204" s="293">
        <v>418000</v>
      </c>
      <c r="Y204" s="293">
        <v>548000</v>
      </c>
      <c r="Z204" s="293">
        <v>658000</v>
      </c>
      <c r="AA204" s="293">
        <v>762000</v>
      </c>
      <c r="AB204" s="293">
        <v>762000</v>
      </c>
    </row>
    <row r="205" spans="10:28" ht="15" customHeight="1" x14ac:dyDescent="0.25">
      <c r="J205" s="291" t="str">
        <f xml:space="preserve"> _xll.EPMOlapMemberO("[COSTCENTER].[PARENTH1].[1001]","","1001","","000")</f>
        <v>1001</v>
      </c>
      <c r="K205" s="295" t="str">
        <f xml:space="preserve"> _xll.EPMOlapMemberO("[C_ACCOUNT].[PARENTH1].[A_2360603]","","A_2360603","","000")</f>
        <v>A_2360603</v>
      </c>
      <c r="L205" s="293" t="str">
        <f>_xll.EPMMemberDesc(K205)</f>
        <v>Taxes Payable - Gross Receipts Tax</v>
      </c>
      <c r="M205" s="293">
        <v>0</v>
      </c>
      <c r="N205" s="293">
        <v>0</v>
      </c>
      <c r="O205" s="293">
        <v>0</v>
      </c>
      <c r="P205" s="293">
        <v>3614000</v>
      </c>
      <c r="Q205" s="293">
        <v>3354000</v>
      </c>
      <c r="R205" s="293">
        <v>3292000</v>
      </c>
      <c r="S205" s="293">
        <v>3468000</v>
      </c>
      <c r="T205" s="293">
        <v>3853000</v>
      </c>
      <c r="U205" s="293">
        <v>4484000</v>
      </c>
      <c r="V205" s="293">
        <v>4682000</v>
      </c>
      <c r="W205" s="293">
        <v>4650000</v>
      </c>
      <c r="X205" s="293">
        <v>4856000</v>
      </c>
      <c r="Y205" s="293">
        <v>4397000</v>
      </c>
      <c r="Z205" s="293">
        <v>3689000</v>
      </c>
      <c r="AA205" s="293">
        <v>3503000</v>
      </c>
      <c r="AB205" s="293">
        <v>3503000</v>
      </c>
    </row>
    <row r="206" spans="10:28" ht="15" customHeight="1" x14ac:dyDescent="0.25">
      <c r="J206" s="291" t="str">
        <f xml:space="preserve"> _xll.EPMOlapMemberO("[COSTCENTER].[PARENTH1].[1001]","","1001","","000")</f>
        <v>1001</v>
      </c>
      <c r="K206" s="295" t="str">
        <f xml:space="preserve"> _xll.EPMOlapMemberO("[C_ACCOUNT].[PARENTH1].[A_2360604]","","A_2360604","","000")</f>
        <v>A_2360604</v>
      </c>
      <c r="L206" s="293" t="str">
        <f>_xll.EPMMemberDesc(K206)</f>
        <v>Taxes Payable - Property Tax</v>
      </c>
      <c r="M206" s="293">
        <v>0</v>
      </c>
      <c r="N206" s="293">
        <v>0</v>
      </c>
      <c r="O206" s="293">
        <v>0</v>
      </c>
      <c r="P206" s="293">
        <v>5799000</v>
      </c>
      <c r="Q206" s="293">
        <v>11598000</v>
      </c>
      <c r="R206" s="293">
        <v>17397000</v>
      </c>
      <c r="S206" s="293">
        <v>23196000</v>
      </c>
      <c r="T206" s="293">
        <v>28995000</v>
      </c>
      <c r="U206" s="293">
        <v>34794000</v>
      </c>
      <c r="V206" s="293">
        <v>40593000</v>
      </c>
      <c r="W206" s="293">
        <v>46392000</v>
      </c>
      <c r="X206" s="293">
        <v>52191000</v>
      </c>
      <c r="Y206" s="293">
        <v>57990000</v>
      </c>
      <c r="Z206" s="293">
        <v>-5799000</v>
      </c>
      <c r="AA206" s="293">
        <v>0</v>
      </c>
      <c r="AB206" s="293">
        <v>0</v>
      </c>
    </row>
    <row r="207" spans="10:28" ht="15" customHeight="1" x14ac:dyDescent="0.25">
      <c r="J207" s="291" t="str">
        <f xml:space="preserve"> _xll.EPMOlapMemberO("[COSTCENTER].[PARENTH1].[1001]","","1001","","000")</f>
        <v>1001</v>
      </c>
      <c r="K207" s="295" t="str">
        <f xml:space="preserve"> _xll.EPMOlapMemberO("[C_ACCOUNT].[PARENTH1].[A_2360605]","","A_2360605","","000")</f>
        <v>A_2360605</v>
      </c>
      <c r="L207" s="293" t="str">
        <f>_xll.EPMMemberDesc(K207)</f>
        <v>Taxes Payable - Franchise Fees</v>
      </c>
      <c r="M207" s="293">
        <v>0</v>
      </c>
      <c r="N207" s="293">
        <v>0</v>
      </c>
      <c r="O207" s="293">
        <v>0</v>
      </c>
      <c r="P207" s="293">
        <v>3665000</v>
      </c>
      <c r="Q207" s="293">
        <v>3412000</v>
      </c>
      <c r="R207" s="293">
        <v>3353000</v>
      </c>
      <c r="S207" s="293">
        <v>3525000</v>
      </c>
      <c r="T207" s="293">
        <v>3899000</v>
      </c>
      <c r="U207" s="293">
        <v>4514000</v>
      </c>
      <c r="V207" s="293">
        <v>4707000</v>
      </c>
      <c r="W207" s="293">
        <v>4676000</v>
      </c>
      <c r="X207" s="293">
        <v>4877000</v>
      </c>
      <c r="Y207" s="293">
        <v>4430000</v>
      </c>
      <c r="Z207" s="293">
        <v>3742000</v>
      </c>
      <c r="AA207" s="293">
        <v>3561000</v>
      </c>
      <c r="AB207" s="293">
        <v>3561000</v>
      </c>
    </row>
    <row r="208" spans="10:28" ht="15" customHeight="1" x14ac:dyDescent="0.25">
      <c r="J208" s="291" t="str">
        <f xml:space="preserve"> _xll.EPMOlapMemberO("[COSTCENTER].[PARENTH1].[1001]","","1001","","000")</f>
        <v>1001</v>
      </c>
      <c r="K208" s="295" t="str">
        <f xml:space="preserve"> _xll.EPMOlapMemberO("[C_ACCOUNT].[PARENTH1].[A_2360606]","","A_2360606","","000")</f>
        <v>A_2360606</v>
      </c>
      <c r="L208" s="293" t="str">
        <f>_xll.EPMMemberDesc(K208)</f>
        <v>Taxes Payable - Federal Excise Tax</v>
      </c>
      <c r="M208" s="293">
        <v>0</v>
      </c>
      <c r="N208" s="293">
        <v>0</v>
      </c>
      <c r="O208" s="293">
        <v>0</v>
      </c>
      <c r="P208" s="293">
        <v>0</v>
      </c>
      <c r="Q208" s="293">
        <v>2000</v>
      </c>
      <c r="R208" s="293">
        <v>0</v>
      </c>
      <c r="S208" s="293">
        <v>0</v>
      </c>
      <c r="T208" s="293">
        <v>0</v>
      </c>
      <c r="U208" s="293">
        <v>0</v>
      </c>
      <c r="V208" s="293">
        <v>0</v>
      </c>
      <c r="W208" s="293">
        <v>8000</v>
      </c>
      <c r="X208" s="293">
        <v>0</v>
      </c>
      <c r="Y208" s="293">
        <v>0</v>
      </c>
      <c r="Z208" s="293">
        <v>1000</v>
      </c>
      <c r="AA208" s="293">
        <v>0</v>
      </c>
      <c r="AB208" s="293">
        <v>0</v>
      </c>
    </row>
    <row r="209" spans="10:28" ht="15" customHeight="1" x14ac:dyDescent="0.25">
      <c r="J209" s="291" t="str">
        <f xml:space="preserve"> _xll.EPMOlapMemberO("[COSTCENTER].[PARENTH1].[1001]","","1001","","000")</f>
        <v>1001</v>
      </c>
      <c r="K209" s="295" t="str">
        <f xml:space="preserve"> _xll.EPMOlapMemberO("[C_ACCOUNT].[PARENTH1].[A_2360620]","","A_2360620","","000")</f>
        <v>A_2360620</v>
      </c>
      <c r="L209" s="293" t="str">
        <f>_xll.EPMMemberDesc(K209)</f>
        <v>Taxes Payable - FICA Employr</v>
      </c>
      <c r="M209" s="293">
        <v>0</v>
      </c>
      <c r="N209" s="293">
        <v>0</v>
      </c>
      <c r="O209" s="293">
        <v>0</v>
      </c>
      <c r="P209" s="293">
        <v>598865.86859289999</v>
      </c>
      <c r="Q209" s="293">
        <v>371863.71960399998</v>
      </c>
      <c r="R209" s="293">
        <v>424757.48161870003</v>
      </c>
      <c r="S209" s="293">
        <v>421869.19998470001</v>
      </c>
      <c r="T209" s="293">
        <v>408221.11683349998</v>
      </c>
      <c r="U209" s="293">
        <v>430065.98121469998</v>
      </c>
      <c r="V209" s="293">
        <v>441832.76518689998</v>
      </c>
      <c r="W209" s="293">
        <v>426102.67491310003</v>
      </c>
      <c r="X209" s="293">
        <v>439578.046294</v>
      </c>
      <c r="Y209" s="293">
        <v>428189.21091620001</v>
      </c>
      <c r="Z209" s="293">
        <v>425256.5076134</v>
      </c>
      <c r="AA209" s="293">
        <v>675305.20574110001</v>
      </c>
      <c r="AB209" s="293">
        <v>675305.20574110001</v>
      </c>
    </row>
    <row r="210" spans="10:28" ht="15" customHeight="1" x14ac:dyDescent="0.25">
      <c r="J210" s="291" t="str">
        <f xml:space="preserve"> _xll.EPMOlapMemberO("[COSTCENTER].[PARENTH1].[1001]","","1001","","000")</f>
        <v>1001</v>
      </c>
      <c r="K210" s="295" t="str">
        <f xml:space="preserve"> _xll.EPMOlapMemberO("[C_ACCOUNT].[PARENTH1].[A_2360800]","","A_2360800","","000")</f>
        <v>A_2360800</v>
      </c>
      <c r="L210" s="293" t="str">
        <f>_xll.EPMMemberDesc(K210)</f>
        <v>Taxes Payable - Other</v>
      </c>
      <c r="M210" s="293">
        <v>0</v>
      </c>
      <c r="N210" s="293">
        <v>0</v>
      </c>
      <c r="O210" s="293">
        <v>0</v>
      </c>
      <c r="P210" s="293">
        <v>15000</v>
      </c>
      <c r="Q210" s="293">
        <v>23000</v>
      </c>
      <c r="R210" s="293">
        <v>15000</v>
      </c>
      <c r="S210" s="293">
        <v>15000</v>
      </c>
      <c r="T210" s="293">
        <v>15000</v>
      </c>
      <c r="U210" s="293">
        <v>15000</v>
      </c>
      <c r="V210" s="293">
        <v>15000</v>
      </c>
      <c r="W210" s="293">
        <v>23000</v>
      </c>
      <c r="X210" s="293">
        <v>33000</v>
      </c>
      <c r="Y210" s="293">
        <v>15000</v>
      </c>
      <c r="Z210" s="293">
        <v>16000</v>
      </c>
      <c r="AA210" s="293">
        <v>15000</v>
      </c>
      <c r="AB210" s="293">
        <v>15000</v>
      </c>
    </row>
    <row r="211" spans="10:28" ht="15" customHeight="1" x14ac:dyDescent="0.2">
      <c r="J211" s="286" t="str">
        <f xml:space="preserve"> _xll.EPMOlapMemberO("[COSTCENTER].[PARENTH1].[1001]","","1001","","000")</f>
        <v>1001</v>
      </c>
      <c r="K211" s="290" t="str">
        <f xml:space="preserve"> _xll.EPMOlapMemberO("[C_ACCOUNT].[PARENTH1].[OTH_CUR_LIA]","","OTH_CUR_LIA","","000")</f>
        <v>OTH_CUR_LIA</v>
      </c>
      <c r="L211" s="286" t="str">
        <f>_xll.EPMMemberDesc(K211)</f>
        <v>Other current liabilities</v>
      </c>
      <c r="M211" s="287">
        <v>0</v>
      </c>
      <c r="N211" s="287">
        <v>0</v>
      </c>
      <c r="O211" s="287">
        <v>0</v>
      </c>
      <c r="P211" s="287">
        <v>40314156.394401401</v>
      </c>
      <c r="Q211" s="287">
        <v>32050106.787734799</v>
      </c>
      <c r="R211" s="287">
        <v>37066755.016196698</v>
      </c>
      <c r="S211" s="287">
        <v>36913881.18953</v>
      </c>
      <c r="T211" s="287">
        <v>36760998.782863401</v>
      </c>
      <c r="U211" s="287">
        <v>37305120.191778503</v>
      </c>
      <c r="V211" s="287">
        <v>37152235.345111802</v>
      </c>
      <c r="W211" s="287">
        <v>36999341.958445199</v>
      </c>
      <c r="X211" s="287">
        <v>37543452.407360204</v>
      </c>
      <c r="Y211" s="287">
        <v>37390541.890693501</v>
      </c>
      <c r="Z211" s="287">
        <v>37250589.714026898</v>
      </c>
      <c r="AA211" s="287">
        <v>37807677.982942</v>
      </c>
      <c r="AB211" s="287">
        <v>37807677.982942</v>
      </c>
    </row>
    <row r="212" spans="10:28" ht="15" customHeight="1" x14ac:dyDescent="0.2">
      <c r="J212" s="286" t="str">
        <f xml:space="preserve"> _xll.EPMOlapMemberO("[COSTCENTER].[PARENTH1].[1001]","","1001","","000")</f>
        <v>1001</v>
      </c>
      <c r="K212" s="294" t="str">
        <f xml:space="preserve"> _xll.EPMOlapMemberO("[C_ACCOUNT].[PARENTH1].[ARO_OB_C]","","ARO_OB_C","","000")</f>
        <v>ARO_OB_C</v>
      </c>
      <c r="L212" s="286" t="str">
        <f>_xll.EPMMemberDesc(K212)</f>
        <v>ARO Obligation - Current</v>
      </c>
      <c r="M212" s="287">
        <v>0</v>
      </c>
      <c r="N212" s="287">
        <v>0</v>
      </c>
      <c r="O212" s="287">
        <v>0</v>
      </c>
      <c r="P212" s="287">
        <v>500000</v>
      </c>
      <c r="Q212" s="287">
        <v>500000</v>
      </c>
      <c r="R212" s="287">
        <v>500000</v>
      </c>
      <c r="S212" s="287">
        <v>500000</v>
      </c>
      <c r="T212" s="287">
        <v>500000</v>
      </c>
      <c r="U212" s="287">
        <v>500000</v>
      </c>
      <c r="V212" s="287">
        <v>500000</v>
      </c>
      <c r="W212" s="287">
        <v>500000</v>
      </c>
      <c r="X212" s="287">
        <v>500000</v>
      </c>
      <c r="Y212" s="287">
        <v>500000</v>
      </c>
      <c r="Z212" s="287">
        <v>500000</v>
      </c>
      <c r="AA212" s="287">
        <v>500000</v>
      </c>
      <c r="AB212" s="287">
        <v>500000</v>
      </c>
    </row>
    <row r="213" spans="10:28" ht="15" customHeight="1" x14ac:dyDescent="0.25">
      <c r="J213" s="291" t="str">
        <f xml:space="preserve"> _xll.EPMOlapMemberO("[COSTCENTER].[PARENTH1].[1001]","","1001","","000")</f>
        <v>1001</v>
      </c>
      <c r="K213" s="295" t="str">
        <f xml:space="preserve"> _xll.EPMOlapMemberO("[C_ACCOUNT].[PARENTH1].[A_2300100]","","A_2300100","","000")</f>
        <v>A_2300100</v>
      </c>
      <c r="L213" s="293" t="str">
        <f>_xll.EPMMemberDesc(K213)</f>
        <v>Asset Retirement Obligations - Short-term</v>
      </c>
      <c r="M213" s="293">
        <v>0</v>
      </c>
      <c r="N213" s="293">
        <v>0</v>
      </c>
      <c r="O213" s="293">
        <v>0</v>
      </c>
      <c r="P213" s="293">
        <v>500000</v>
      </c>
      <c r="Q213" s="293">
        <v>500000</v>
      </c>
      <c r="R213" s="293">
        <v>500000</v>
      </c>
      <c r="S213" s="293">
        <v>500000</v>
      </c>
      <c r="T213" s="293">
        <v>500000</v>
      </c>
      <c r="U213" s="293">
        <v>500000</v>
      </c>
      <c r="V213" s="293">
        <v>500000</v>
      </c>
      <c r="W213" s="293">
        <v>500000</v>
      </c>
      <c r="X213" s="293">
        <v>500000</v>
      </c>
      <c r="Y213" s="293">
        <v>500000</v>
      </c>
      <c r="Z213" s="293">
        <v>500000</v>
      </c>
      <c r="AA213" s="293">
        <v>500000</v>
      </c>
      <c r="AB213" s="293">
        <v>500000</v>
      </c>
    </row>
    <row r="214" spans="10:28" ht="15" customHeight="1" x14ac:dyDescent="0.2">
      <c r="J214" s="286" t="str">
        <f xml:space="preserve"> _xll.EPMOlapMemberO("[COSTCENTER].[PARENTH1].[1001]","","1001","","000")</f>
        <v>1001</v>
      </c>
      <c r="K214" s="294" t="str">
        <f xml:space="preserve"> _xll.EPMOlapMemberO("[C_ACCOUNT].[PARENTH1].[OTH_CUR_LIA_BEN]","","OTH_CUR_LIA_BEN","","000")</f>
        <v>OTH_CUR_LIA_BEN</v>
      </c>
      <c r="L214" s="286" t="str">
        <f>_xll.EPMMemberDesc(K214)</f>
        <v>Other current liabilities - Benefit related</v>
      </c>
      <c r="M214" s="287">
        <v>0</v>
      </c>
      <c r="N214" s="287">
        <v>0</v>
      </c>
      <c r="O214" s="287">
        <v>0</v>
      </c>
      <c r="P214" s="287">
        <v>10106659</v>
      </c>
      <c r="Q214" s="287">
        <v>10106659</v>
      </c>
      <c r="R214" s="287">
        <v>10106659</v>
      </c>
      <c r="S214" s="287">
        <v>10106659</v>
      </c>
      <c r="T214" s="287">
        <v>10106659</v>
      </c>
      <c r="U214" s="287">
        <v>10106659</v>
      </c>
      <c r="V214" s="287">
        <v>10106659</v>
      </c>
      <c r="W214" s="287">
        <v>10106659</v>
      </c>
      <c r="X214" s="287">
        <v>10106659</v>
      </c>
      <c r="Y214" s="287">
        <v>10106659</v>
      </c>
      <c r="Z214" s="287">
        <v>10106659</v>
      </c>
      <c r="AA214" s="287">
        <v>10106659</v>
      </c>
      <c r="AB214" s="287">
        <v>10106659</v>
      </c>
    </row>
    <row r="215" spans="10:28" ht="15" customHeight="1" x14ac:dyDescent="0.25">
      <c r="J215" s="291" t="str">
        <f xml:space="preserve"> _xll.EPMOlapMemberO("[COSTCENTER].[PARENTH1].[1001]","","1001","","000")</f>
        <v>1001</v>
      </c>
      <c r="K215" s="295" t="str">
        <f xml:space="preserve"> _xll.EPMOlapMemberO("[C_ACCOUNT].[PARENTH1].[A_2420111]","","A_2420111","","000")</f>
        <v>A_2420111</v>
      </c>
      <c r="L215" s="293" t="str">
        <f>_xll.EPMMemberDesc(K215)</f>
        <v>SERP Liability FAS158 - Current</v>
      </c>
      <c r="M215" s="293">
        <v>0</v>
      </c>
      <c r="N215" s="293">
        <v>0</v>
      </c>
      <c r="O215" s="293">
        <v>0</v>
      </c>
      <c r="P215" s="293">
        <v>303627</v>
      </c>
      <c r="Q215" s="293">
        <v>303627</v>
      </c>
      <c r="R215" s="293">
        <v>303627</v>
      </c>
      <c r="S215" s="293">
        <v>303627</v>
      </c>
      <c r="T215" s="293">
        <v>303627</v>
      </c>
      <c r="U215" s="293">
        <v>303627</v>
      </c>
      <c r="V215" s="293">
        <v>303627</v>
      </c>
      <c r="W215" s="293">
        <v>303627</v>
      </c>
      <c r="X215" s="293">
        <v>303627</v>
      </c>
      <c r="Y215" s="293">
        <v>303627</v>
      </c>
      <c r="Z215" s="293">
        <v>303627</v>
      </c>
      <c r="AA215" s="293">
        <v>303627</v>
      </c>
      <c r="AB215" s="293">
        <v>303627</v>
      </c>
    </row>
    <row r="216" spans="10:28" ht="15" customHeight="1" x14ac:dyDescent="0.25">
      <c r="J216" s="291" t="str">
        <f xml:space="preserve"> _xll.EPMOlapMemberO("[COSTCENTER].[PARENTH1].[1001]","","1001","","000")</f>
        <v>1001</v>
      </c>
      <c r="K216" s="295" t="str">
        <f xml:space="preserve"> _xll.EPMOlapMemberO("[C_ACCOUNT].[PARENTH1].[A_2420131]","","A_2420131","","000")</f>
        <v>A_2420131</v>
      </c>
      <c r="L216" s="293" t="str">
        <f>_xll.EPMMemberDesc(K216)</f>
        <v>FAS106 Liability FAS158 - Current</v>
      </c>
      <c r="M216" s="293">
        <v>0</v>
      </c>
      <c r="N216" s="293">
        <v>0</v>
      </c>
      <c r="O216" s="293">
        <v>0</v>
      </c>
      <c r="P216" s="293">
        <v>9803032</v>
      </c>
      <c r="Q216" s="293">
        <v>9803032</v>
      </c>
      <c r="R216" s="293">
        <v>9803032</v>
      </c>
      <c r="S216" s="293">
        <v>9803032</v>
      </c>
      <c r="T216" s="293">
        <v>9803032</v>
      </c>
      <c r="U216" s="293">
        <v>9803032</v>
      </c>
      <c r="V216" s="293">
        <v>9803032</v>
      </c>
      <c r="W216" s="293">
        <v>9803032</v>
      </c>
      <c r="X216" s="293">
        <v>9803032</v>
      </c>
      <c r="Y216" s="293">
        <v>9803032</v>
      </c>
      <c r="Z216" s="293">
        <v>9803032</v>
      </c>
      <c r="AA216" s="293">
        <v>9803032</v>
      </c>
      <c r="AB216" s="293">
        <v>9803032</v>
      </c>
    </row>
    <row r="217" spans="10:28" ht="15" customHeight="1" x14ac:dyDescent="0.2">
      <c r="J217" s="286" t="str">
        <f xml:space="preserve"> _xll.EPMOlapMemberO("[COSTCENTER].[PARENTH1].[1001]","","1001","","000")</f>
        <v>1001</v>
      </c>
      <c r="K217" s="294" t="str">
        <f xml:space="preserve"> _xll.EPMOlapMemberO("[C_ACCOUNT].[PARENTH1].[OTH_CUR_L]","","OTH_CUR_L","","000")</f>
        <v>OTH_CUR_L</v>
      </c>
      <c r="L217" s="286" t="str">
        <f>_xll.EPMMemberDesc(K217)</f>
        <v>Other current liabilities</v>
      </c>
      <c r="M217" s="287">
        <v>0</v>
      </c>
      <c r="N217" s="287">
        <v>0</v>
      </c>
      <c r="O217" s="287">
        <v>0</v>
      </c>
      <c r="P217" s="287">
        <v>27948533.474401399</v>
      </c>
      <c r="Q217" s="287">
        <v>19690992.4777348</v>
      </c>
      <c r="R217" s="287">
        <v>24714165.156196699</v>
      </c>
      <c r="S217" s="287">
        <v>24565856.789530002</v>
      </c>
      <c r="T217" s="287">
        <v>24417548.422863401</v>
      </c>
      <c r="U217" s="287">
        <v>24966252.461778499</v>
      </c>
      <c r="V217" s="287">
        <v>24817944.095111798</v>
      </c>
      <c r="W217" s="287">
        <v>24669635.728445198</v>
      </c>
      <c r="X217" s="287">
        <v>25218339.767360199</v>
      </c>
      <c r="Y217" s="287">
        <v>25070031.400693499</v>
      </c>
      <c r="Z217" s="287">
        <v>24921723.034026898</v>
      </c>
      <c r="AA217" s="287">
        <v>25470427.072942</v>
      </c>
      <c r="AB217" s="287">
        <v>25470427.072942</v>
      </c>
    </row>
    <row r="218" spans="10:28" ht="15" customHeight="1" x14ac:dyDescent="0.25">
      <c r="J218" s="291" t="str">
        <f xml:space="preserve"> _xll.EPMOlapMemberO("[COSTCENTER].[PARENTH1].[1001]","","1001","","000")</f>
        <v>1001</v>
      </c>
      <c r="K218" s="295" t="str">
        <f xml:space="preserve"> _xll.EPMOlapMemberO("[C_ACCOUNT].[PARENTH1].[A_2530120]","","A_2530120","","000")</f>
        <v>A_2530120</v>
      </c>
      <c r="L218" s="293" t="str">
        <f>_xll.EPMMemberDesc(K218)</f>
        <v>Deferred Revenue -Contract Liability - Current</v>
      </c>
      <c r="M218" s="293">
        <v>0</v>
      </c>
      <c r="N218" s="293">
        <v>0</v>
      </c>
      <c r="O218" s="293">
        <v>0</v>
      </c>
      <c r="P218" s="293">
        <v>1751439.5033332999</v>
      </c>
      <c r="Q218" s="293">
        <v>1603131.1366667</v>
      </c>
      <c r="R218" s="293">
        <v>1454822.77</v>
      </c>
      <c r="S218" s="293">
        <v>1306514.4033333</v>
      </c>
      <c r="T218" s="293">
        <v>1158206.0366666999</v>
      </c>
      <c r="U218" s="293">
        <v>1009897.67</v>
      </c>
      <c r="V218" s="293">
        <v>861589.30333330005</v>
      </c>
      <c r="W218" s="293">
        <v>713280.93666670006</v>
      </c>
      <c r="X218" s="293">
        <v>564972.56999999995</v>
      </c>
      <c r="Y218" s="293">
        <v>416664.20333330001</v>
      </c>
      <c r="Z218" s="293">
        <v>268355.83666670002</v>
      </c>
      <c r="AA218" s="293">
        <v>120047.47</v>
      </c>
      <c r="AB218" s="293">
        <v>120047.47</v>
      </c>
    </row>
    <row r="219" spans="10:28" ht="15" customHeight="1" x14ac:dyDescent="0.25">
      <c r="J219" s="291" t="str">
        <f xml:space="preserve"> _xll.EPMOlapMemberO("[COSTCENTER].[PARENTH1].[1001]","","1001","","000")</f>
        <v>1001</v>
      </c>
      <c r="K219" s="295" t="str">
        <f xml:space="preserve"> _xll.EPMOlapMemberO("[C_ACCOUNT].[PARENTH1].[A_2530130]","","A_2530130","","000")</f>
        <v>A_2530130</v>
      </c>
      <c r="L219" s="293" t="str">
        <f>_xll.EPMMemberDesc(K219)</f>
        <v>Contract Retentions - Current (Posting)</v>
      </c>
      <c r="M219" s="293">
        <v>0</v>
      </c>
      <c r="N219" s="293">
        <v>0</v>
      </c>
      <c r="O219" s="293">
        <v>0</v>
      </c>
      <c r="P219" s="293">
        <v>15000000</v>
      </c>
      <c r="Q219" s="293">
        <v>15000000</v>
      </c>
      <c r="R219" s="293">
        <v>15000000</v>
      </c>
      <c r="S219" s="293">
        <v>15000000</v>
      </c>
      <c r="T219" s="293">
        <v>15000000</v>
      </c>
      <c r="U219" s="293">
        <v>15000000</v>
      </c>
      <c r="V219" s="293">
        <v>15000000</v>
      </c>
      <c r="W219" s="293">
        <v>15000000</v>
      </c>
      <c r="X219" s="293">
        <v>15000000</v>
      </c>
      <c r="Y219" s="293">
        <v>15000000</v>
      </c>
      <c r="Z219" s="293">
        <v>15000000</v>
      </c>
      <c r="AA219" s="293">
        <v>15000000</v>
      </c>
      <c r="AB219" s="293">
        <v>15000000</v>
      </c>
    </row>
    <row r="220" spans="10:28" ht="15" customHeight="1" x14ac:dyDescent="0.25">
      <c r="J220" s="291" t="str">
        <f xml:space="preserve"> _xll.EPMOlapMemberO("[COSTCENTER].[PARENTH1].[1001]","","1001","","000")</f>
        <v>1001</v>
      </c>
      <c r="K220" s="295" t="str">
        <f xml:space="preserve"> _xll.EPMOlapMemberO("[C_ACCOUNT].[PARENTH1].[A_2420191]","","A_2420191","","000")</f>
        <v>A_2420191</v>
      </c>
      <c r="L220" s="293" t="str">
        <f>_xll.EPMMemberDesc(K220)</f>
        <v>Long-Term Incentive - Current</v>
      </c>
      <c r="M220" s="293">
        <v>0</v>
      </c>
      <c r="N220" s="293">
        <v>0</v>
      </c>
      <c r="O220" s="293">
        <v>0</v>
      </c>
      <c r="P220" s="293">
        <v>8109232.6299999999</v>
      </c>
      <c r="Q220" s="293">
        <v>0</v>
      </c>
      <c r="R220" s="293">
        <v>5017221.3500205996</v>
      </c>
      <c r="S220" s="293">
        <v>5017221.3500205996</v>
      </c>
      <c r="T220" s="293">
        <v>5017221.3500205996</v>
      </c>
      <c r="U220" s="293">
        <v>5559974.0604943996</v>
      </c>
      <c r="V220" s="293">
        <v>5559974.0604943996</v>
      </c>
      <c r="W220" s="293">
        <v>5559974.0604943996</v>
      </c>
      <c r="X220" s="293">
        <v>6102726.7709681001</v>
      </c>
      <c r="Y220" s="293">
        <v>6102726.7709681001</v>
      </c>
      <c r="Z220" s="293">
        <v>6102726.7709681001</v>
      </c>
      <c r="AA220" s="293">
        <v>6645479.4814419001</v>
      </c>
      <c r="AB220" s="293">
        <v>6645479.4814419001</v>
      </c>
    </row>
    <row r="221" spans="10:28" ht="15" customHeight="1" x14ac:dyDescent="0.25">
      <c r="J221" s="291" t="str">
        <f xml:space="preserve"> _xll.EPMOlapMemberO("[COSTCENTER].[PARENTH1].[1001]","","1001","","000")</f>
        <v>1001</v>
      </c>
      <c r="K221" s="295" t="str">
        <f xml:space="preserve"> _xll.EPMOlapMemberO("[C_ACCOUNT].[PARENTH1].[A_2420192]","","A_2420192","","000")</f>
        <v>A_2420192</v>
      </c>
      <c r="L221" s="293" t="str">
        <f>_xll.EPMMemberDesc(K221)</f>
        <v>Deferred Compensation - Current</v>
      </c>
      <c r="M221" s="293">
        <v>0</v>
      </c>
      <c r="N221" s="293">
        <v>0</v>
      </c>
      <c r="O221" s="293">
        <v>0</v>
      </c>
      <c r="P221" s="293">
        <v>3087861.3410681002</v>
      </c>
      <c r="Q221" s="293">
        <v>3087861.3410681002</v>
      </c>
      <c r="R221" s="293">
        <v>3242121.0361760999</v>
      </c>
      <c r="S221" s="293">
        <v>3242121.0361760999</v>
      </c>
      <c r="T221" s="293">
        <v>3242121.0361760999</v>
      </c>
      <c r="U221" s="293">
        <v>3396380.7312841001</v>
      </c>
      <c r="V221" s="293">
        <v>3396380.7312841001</v>
      </c>
      <c r="W221" s="293">
        <v>3396380.7312841001</v>
      </c>
      <c r="X221" s="293">
        <v>3550640.4263920998</v>
      </c>
      <c r="Y221" s="293">
        <v>3550640.4263920998</v>
      </c>
      <c r="Z221" s="293">
        <v>3550640.4263920998</v>
      </c>
      <c r="AA221" s="293">
        <v>3704900.1215001</v>
      </c>
      <c r="AB221" s="293">
        <v>3704900.1215001</v>
      </c>
    </row>
    <row r="222" spans="10:28" ht="15" customHeight="1" x14ac:dyDescent="0.2">
      <c r="J222" s="286" t="str">
        <f xml:space="preserve"> _xll.EPMOlapMemberO("[COSTCENTER].[PARENTH1].[1001]","","1001","","000")</f>
        <v>1001</v>
      </c>
      <c r="K222" s="294" t="str">
        <f xml:space="preserve"> _xll.EPMOlapMemberO("[C_ACCOUNT].[PARENTH1].[SHORT_TRM_L_LIAB]","","SHORT_TRM_L_LIAB","","000")</f>
        <v>SHORT_TRM_L_LIAB</v>
      </c>
      <c r="L222" s="286" t="str">
        <f>_xll.EPMMemberDesc(K222)</f>
        <v>Short-term Lease Liabilities</v>
      </c>
      <c r="M222" s="287">
        <v>0</v>
      </c>
      <c r="N222" s="287">
        <v>0</v>
      </c>
      <c r="O222" s="287">
        <v>0</v>
      </c>
      <c r="P222" s="287">
        <v>1758963.92</v>
      </c>
      <c r="Q222" s="287">
        <v>1752455.31</v>
      </c>
      <c r="R222" s="287">
        <v>1745930.86</v>
      </c>
      <c r="S222" s="287">
        <v>1741365.4</v>
      </c>
      <c r="T222" s="287">
        <v>1736791.36</v>
      </c>
      <c r="U222" s="287">
        <v>1732208.73</v>
      </c>
      <c r="V222" s="287">
        <v>1727632.25</v>
      </c>
      <c r="W222" s="287">
        <v>1723047.23</v>
      </c>
      <c r="X222" s="287">
        <v>1718453.64</v>
      </c>
      <c r="Y222" s="287">
        <v>1713851.49</v>
      </c>
      <c r="Z222" s="287">
        <v>1722207.68</v>
      </c>
      <c r="AA222" s="287">
        <v>1730591.91</v>
      </c>
      <c r="AB222" s="287">
        <v>1730591.91</v>
      </c>
    </row>
    <row r="223" spans="10:28" ht="15" customHeight="1" x14ac:dyDescent="0.25">
      <c r="J223" s="291" t="str">
        <f xml:space="preserve"> _xll.EPMOlapMemberO("[COSTCENTER].[PARENTH1].[1001]","","1001","","000")</f>
        <v>1001</v>
      </c>
      <c r="K223" s="295" t="str">
        <f xml:space="preserve"> _xll.EPMOlapMemberO("[C_ACCOUNT].[PARENTH1].[A_2430100]","","A_2430100","","000")</f>
        <v>A_2430100</v>
      </c>
      <c r="L223" s="293" t="str">
        <f>_xll.EPMMemberDesc(K223)</f>
        <v>Short-term Lease Liability - Operating Lease</v>
      </c>
      <c r="M223" s="293">
        <v>0</v>
      </c>
      <c r="N223" s="293">
        <v>0</v>
      </c>
      <c r="O223" s="293">
        <v>0</v>
      </c>
      <c r="P223" s="293">
        <v>1758963.92</v>
      </c>
      <c r="Q223" s="293">
        <v>1752455.31</v>
      </c>
      <c r="R223" s="293">
        <v>1745930.86</v>
      </c>
      <c r="S223" s="293">
        <v>1741365.4</v>
      </c>
      <c r="T223" s="293">
        <v>1736791.36</v>
      </c>
      <c r="U223" s="293">
        <v>1732208.73</v>
      </c>
      <c r="V223" s="293">
        <v>1727632.25</v>
      </c>
      <c r="W223" s="293">
        <v>1723047.23</v>
      </c>
      <c r="X223" s="293">
        <v>1718453.64</v>
      </c>
      <c r="Y223" s="293">
        <v>1713851.49</v>
      </c>
      <c r="Z223" s="293">
        <v>1722207.68</v>
      </c>
      <c r="AA223" s="293">
        <v>1730591.91</v>
      </c>
      <c r="AB223" s="293">
        <v>1730591.91</v>
      </c>
    </row>
    <row r="224" spans="10:28" ht="15" customHeight="1" x14ac:dyDescent="0.2">
      <c r="J224" s="286" t="str">
        <f xml:space="preserve"> _xll.EPMOlapMemberO("[COSTCENTER].[PARENTH1].[1001]","","1001","","000")</f>
        <v>1001</v>
      </c>
      <c r="K224" s="289" t="str">
        <f xml:space="preserve"> _xll.EPMOlapMemberO("[C_ACCOUNT].[PARENTH1].[OTHER_LIABILITIES]","","OTHER_LIABILITIES","","000")</f>
        <v>OTHER_LIABILITIES</v>
      </c>
      <c r="L224" s="286" t="str">
        <f>_xll.EPMMemberDesc(K224)</f>
        <v>OTHER LIABILITIES</v>
      </c>
      <c r="M224" s="287">
        <v>0</v>
      </c>
      <c r="N224" s="287">
        <v>0</v>
      </c>
      <c r="O224" s="287">
        <v>0</v>
      </c>
      <c r="P224" s="287">
        <v>5274034516.8906326</v>
      </c>
      <c r="Q224" s="287">
        <v>5285022787.5081644</v>
      </c>
      <c r="R224" s="287">
        <v>5289967133.2238188</v>
      </c>
      <c r="S224" s="287">
        <v>5287202470.5874767</v>
      </c>
      <c r="T224" s="287">
        <v>5761039899.441081</v>
      </c>
      <c r="U224" s="287">
        <v>5762891796.6307611</v>
      </c>
      <c r="V224" s="287">
        <v>5758872549.6678991</v>
      </c>
      <c r="W224" s="287">
        <v>5761169978.7104836</v>
      </c>
      <c r="X224" s="287">
        <v>5526801680.1103907</v>
      </c>
      <c r="Y224" s="287">
        <v>5529752893.8106546</v>
      </c>
      <c r="Z224" s="287">
        <v>5585522173.5912819</v>
      </c>
      <c r="AA224" s="287">
        <v>5592113494.8165207</v>
      </c>
      <c r="AB224" s="287">
        <v>5592113494.8165207</v>
      </c>
    </row>
    <row r="225" spans="10:28" ht="15" customHeight="1" x14ac:dyDescent="0.2">
      <c r="J225" s="286" t="str">
        <f xml:space="preserve"> _xll.EPMOlapMemberO("[COSTCENTER].[PARENTH1].[1001]","","1001","","000")</f>
        <v>1001</v>
      </c>
      <c r="K225" s="290" t="str">
        <f xml:space="preserve"> _xll.EPMOlapMemberO("[C_ACCOUNT].[PARENTH1].[INVST_TAX_CREDIT]","","INVST_TAX_CREDIT","","000")</f>
        <v>INVST_TAX_CREDIT</v>
      </c>
      <c r="L225" s="286" t="str">
        <f>_xll.EPMMemberDesc(K225)</f>
        <v>Investment Tax Credits</v>
      </c>
      <c r="M225" s="287">
        <v>0</v>
      </c>
      <c r="N225" s="287">
        <v>0</v>
      </c>
      <c r="O225" s="287">
        <v>0</v>
      </c>
      <c r="P225" s="287">
        <v>233616111.83000001</v>
      </c>
      <c r="Q225" s="287">
        <v>232792235.75999999</v>
      </c>
      <c r="R225" s="287">
        <v>231968359.72999999</v>
      </c>
      <c r="S225" s="287">
        <v>231144483.72</v>
      </c>
      <c r="T225" s="287">
        <v>230320607.63999999</v>
      </c>
      <c r="U225" s="287">
        <v>229496731.58000001</v>
      </c>
      <c r="V225" s="287">
        <v>228672855.62</v>
      </c>
      <c r="W225" s="287">
        <v>227848979.53999999</v>
      </c>
      <c r="X225" s="287">
        <v>227025103.49000001</v>
      </c>
      <c r="Y225" s="287">
        <v>226201227.5</v>
      </c>
      <c r="Z225" s="287">
        <v>270556215.69</v>
      </c>
      <c r="AA225" s="287">
        <v>269732339.67000002</v>
      </c>
      <c r="AB225" s="287">
        <v>269732339.67000002</v>
      </c>
    </row>
    <row r="226" spans="10:28" ht="15" customHeight="1" x14ac:dyDescent="0.25">
      <c r="J226" s="291" t="str">
        <f xml:space="preserve"> _xll.EPMOlapMemberO("[COSTCENTER].[PARENTH1].[1001]","","1001","","000")</f>
        <v>1001</v>
      </c>
      <c r="K226" s="292" t="str">
        <f xml:space="preserve"> _xll.EPMOlapMemberO("[C_ACCOUNT].[PARENTH1].[A_2550000]","","A_2550000","","000")</f>
        <v>A_2550000</v>
      </c>
      <c r="L226" s="293" t="str">
        <f>_xll.EPMMemberDesc(K226)</f>
        <v>Accumulated Deferred Investment Tax Credits</v>
      </c>
      <c r="M226" s="293">
        <v>0</v>
      </c>
      <c r="N226" s="293">
        <v>0</v>
      </c>
      <c r="O226" s="293">
        <v>0</v>
      </c>
      <c r="P226" s="293">
        <v>233615194.88999999</v>
      </c>
      <c r="Q226" s="293">
        <v>232791320.25999999</v>
      </c>
      <c r="R226" s="293">
        <v>231967445.68000001</v>
      </c>
      <c r="S226" s="293">
        <v>231143571.11000001</v>
      </c>
      <c r="T226" s="293">
        <v>230319696.47</v>
      </c>
      <c r="U226" s="293">
        <v>229495821.84999999</v>
      </c>
      <c r="V226" s="293">
        <v>228671947.33000001</v>
      </c>
      <c r="W226" s="293">
        <v>227848072.69</v>
      </c>
      <c r="X226" s="293">
        <v>227024198.09</v>
      </c>
      <c r="Y226" s="293">
        <v>226200323.53999999</v>
      </c>
      <c r="Z226" s="293">
        <v>270555313.17000002</v>
      </c>
      <c r="AA226" s="293">
        <v>269731438.58999997</v>
      </c>
      <c r="AB226" s="293">
        <v>269731438.58999997</v>
      </c>
    </row>
    <row r="227" spans="10:28" ht="15" customHeight="1" x14ac:dyDescent="0.25">
      <c r="J227" s="291" t="str">
        <f xml:space="preserve"> _xll.EPMOlapMemberO("[COSTCENTER].[PARENTH1].[1001]","","1001","","000")</f>
        <v>1001</v>
      </c>
      <c r="K227" s="292" t="str">
        <f xml:space="preserve"> _xll.EPMOlapMemberO("[C_ACCOUNT].[PARENTH1].[A_2550005]","","A_2550005","","000")</f>
        <v>A_2550005</v>
      </c>
      <c r="L227" s="293" t="str">
        <f>_xll.EPMMemberDesc(K227)</f>
        <v>Accumulated Defd Investment Tax Credit Non Utility</v>
      </c>
      <c r="M227" s="293">
        <v>0</v>
      </c>
      <c r="N227" s="293">
        <v>0</v>
      </c>
      <c r="O227" s="293">
        <v>0</v>
      </c>
      <c r="P227" s="293">
        <v>916.94</v>
      </c>
      <c r="Q227" s="293">
        <v>915.5</v>
      </c>
      <c r="R227" s="293">
        <v>914.05</v>
      </c>
      <c r="S227" s="293">
        <v>912.61</v>
      </c>
      <c r="T227" s="293">
        <v>911.17</v>
      </c>
      <c r="U227" s="293">
        <v>909.73</v>
      </c>
      <c r="V227" s="293">
        <v>908.29</v>
      </c>
      <c r="W227" s="293">
        <v>906.85</v>
      </c>
      <c r="X227" s="293">
        <v>905.4</v>
      </c>
      <c r="Y227" s="293">
        <v>903.96</v>
      </c>
      <c r="Z227" s="293">
        <v>902.52</v>
      </c>
      <c r="AA227" s="293">
        <v>901.08</v>
      </c>
      <c r="AB227" s="293">
        <v>901.08</v>
      </c>
    </row>
    <row r="228" spans="10:28" ht="15" customHeight="1" x14ac:dyDescent="0.2">
      <c r="J228" s="286" t="str">
        <f xml:space="preserve"> _xll.EPMOlapMemberO("[COSTCENTER].[PARENTH1].[1001]","","1001","","000")</f>
        <v>1001</v>
      </c>
      <c r="K228" s="290" t="str">
        <f xml:space="preserve"> _xll.EPMOlapMemberO("[C_ACCOUNT].[PARENTH1].[LT_REG_LIA]","","LT_REG_LIA","","000")</f>
        <v>LT_REG_LIA</v>
      </c>
      <c r="L228" s="286" t="str">
        <f>_xll.EPMMemberDesc(K228)</f>
        <v>Long-term regulatory liabilities</v>
      </c>
      <c r="M228" s="287">
        <v>0</v>
      </c>
      <c r="N228" s="287">
        <v>0</v>
      </c>
      <c r="O228" s="287">
        <v>0</v>
      </c>
      <c r="P228" s="287">
        <v>935446484.51999998</v>
      </c>
      <c r="Q228" s="287">
        <v>932418053.12</v>
      </c>
      <c r="R228" s="287">
        <v>935606942.40999997</v>
      </c>
      <c r="S228" s="287">
        <v>932460378.71000004</v>
      </c>
      <c r="T228" s="287">
        <v>929313821.40999997</v>
      </c>
      <c r="U228" s="287">
        <v>925182129.91999996</v>
      </c>
      <c r="V228" s="287">
        <v>922019872.33000004</v>
      </c>
      <c r="W228" s="287">
        <v>918878429.41999996</v>
      </c>
      <c r="X228" s="287">
        <v>908131093.35000002</v>
      </c>
      <c r="Y228" s="287">
        <v>904886828.01999998</v>
      </c>
      <c r="Z228" s="287">
        <v>914450949.51999998</v>
      </c>
      <c r="AA228" s="287">
        <v>913527602.71000004</v>
      </c>
      <c r="AB228" s="287">
        <v>913527602.71000004</v>
      </c>
    </row>
    <row r="229" spans="10:28" ht="15" customHeight="1" x14ac:dyDescent="0.2">
      <c r="J229" s="286" t="str">
        <f xml:space="preserve"> _xll.EPMOlapMemberO("[COSTCENTER].[PARENTH1].[1001]","","1001","","000")</f>
        <v>1001</v>
      </c>
      <c r="K229" s="294" t="str">
        <f xml:space="preserve"> _xll.EPMOlapMemberO("[C_ACCOUNT].[PARENTH1].[OTH_REG_LIA_NC]","","OTH_REG_LIA_NC","","000")</f>
        <v>OTH_REG_LIA_NC</v>
      </c>
      <c r="L229" s="286" t="str">
        <f>_xll.EPMMemberDesc(K229)</f>
        <v>Other regulatory liabilities - Non-current</v>
      </c>
      <c r="M229" s="287">
        <v>0</v>
      </c>
      <c r="N229" s="287">
        <v>0</v>
      </c>
      <c r="O229" s="287">
        <v>0</v>
      </c>
      <c r="P229" s="287">
        <v>346653676.99000001</v>
      </c>
      <c r="Q229" s="287">
        <v>346748676.99000001</v>
      </c>
      <c r="R229" s="287">
        <v>346843676.99000001</v>
      </c>
      <c r="S229" s="287">
        <v>346938668.99000001</v>
      </c>
      <c r="T229" s="287">
        <v>347033668.99000001</v>
      </c>
      <c r="U229" s="287">
        <v>347128668.99000001</v>
      </c>
      <c r="V229" s="287">
        <v>347223659.99000001</v>
      </c>
      <c r="W229" s="287">
        <v>347318659.99000001</v>
      </c>
      <c r="X229" s="287">
        <v>347413659.99000001</v>
      </c>
      <c r="Y229" s="287">
        <v>347408651.99000001</v>
      </c>
      <c r="Z229" s="287">
        <v>347503651.99000001</v>
      </c>
      <c r="AA229" s="287">
        <v>347598651.99000001</v>
      </c>
      <c r="AB229" s="287">
        <v>347598651.99000001</v>
      </c>
    </row>
    <row r="230" spans="10:28" ht="15" customHeight="1" x14ac:dyDescent="0.25">
      <c r="J230" s="291" t="str">
        <f xml:space="preserve"> _xll.EPMOlapMemberO("[COSTCENTER].[PARENTH1].[1001]","","1001","","000")</f>
        <v>1001</v>
      </c>
      <c r="K230" s="295" t="str">
        <f xml:space="preserve"> _xll.EPMOlapMemberO("[C_ACCOUNT].[PARENTH1].[A_1080210]","","A_1080210","","000")</f>
        <v>A_1080210</v>
      </c>
      <c r="L230" s="293" t="str">
        <f>_xll.EPMMemberDesc(K230)</f>
        <v>Accum Reserve Cost of Removal Contra- Non-Current</v>
      </c>
      <c r="M230" s="293">
        <v>0</v>
      </c>
      <c r="N230" s="293">
        <v>0</v>
      </c>
      <c r="O230" s="293">
        <v>0</v>
      </c>
      <c r="P230" s="293">
        <v>298845725.92000002</v>
      </c>
      <c r="Q230" s="293">
        <v>298940725.92000002</v>
      </c>
      <c r="R230" s="293">
        <v>299035725.92000002</v>
      </c>
      <c r="S230" s="293">
        <v>299130725.92000002</v>
      </c>
      <c r="T230" s="293">
        <v>299225725.92000002</v>
      </c>
      <c r="U230" s="293">
        <v>299320725.92000002</v>
      </c>
      <c r="V230" s="293">
        <v>299415725.92000002</v>
      </c>
      <c r="W230" s="293">
        <v>299510725.92000002</v>
      </c>
      <c r="X230" s="293">
        <v>299605725.92000002</v>
      </c>
      <c r="Y230" s="293">
        <v>299700725.92000002</v>
      </c>
      <c r="Z230" s="293">
        <v>299795725.92000002</v>
      </c>
      <c r="AA230" s="293">
        <v>299890725.92000002</v>
      </c>
      <c r="AB230" s="293">
        <v>299890725.92000002</v>
      </c>
    </row>
    <row r="231" spans="10:28" ht="15" customHeight="1" x14ac:dyDescent="0.25">
      <c r="J231" s="291" t="str">
        <f xml:space="preserve"> _xll.EPMOlapMemberO("[COSTCENTER].[PARENTH1].[1001]","","1001","","000")</f>
        <v>1001</v>
      </c>
      <c r="K231" s="295" t="str">
        <f xml:space="preserve"> _xll.EPMOlapMemberO("[C_ACCOUNT].[PARENTH1].[A_2281000]","","A_2281000","","000")</f>
        <v>A_2281000</v>
      </c>
      <c r="L231" s="293" t="str">
        <f>_xll.EPMMemberDesc(K231)</f>
        <v>Accumulated Provision for Property Insurance</v>
      </c>
      <c r="M231" s="293">
        <v>0</v>
      </c>
      <c r="N231" s="293">
        <v>0</v>
      </c>
      <c r="O231" s="293">
        <v>0</v>
      </c>
      <c r="P231" s="293">
        <v>47773707.07</v>
      </c>
      <c r="Q231" s="293">
        <v>47773707.07</v>
      </c>
      <c r="R231" s="293">
        <v>47773707.07</v>
      </c>
      <c r="S231" s="293">
        <v>47773707.07</v>
      </c>
      <c r="T231" s="293">
        <v>47773707.07</v>
      </c>
      <c r="U231" s="293">
        <v>47773707.07</v>
      </c>
      <c r="V231" s="293">
        <v>47773707.07</v>
      </c>
      <c r="W231" s="293">
        <v>47773707.07</v>
      </c>
      <c r="X231" s="293">
        <v>47773707.07</v>
      </c>
      <c r="Y231" s="293">
        <v>47673707.07</v>
      </c>
      <c r="Z231" s="293">
        <v>47673707.07</v>
      </c>
      <c r="AA231" s="293">
        <v>47673707.07</v>
      </c>
      <c r="AB231" s="293">
        <v>47673707.07</v>
      </c>
    </row>
    <row r="232" spans="10:28" ht="15" customHeight="1" x14ac:dyDescent="0.25">
      <c r="J232" s="291" t="str">
        <f xml:space="preserve"> _xll.EPMOlapMemberO("[COSTCENTER].[PARENTH1].[1001]","","1001","","000")</f>
        <v>1001</v>
      </c>
      <c r="K232" s="295" t="str">
        <f xml:space="preserve"> _xll.EPMOlapMemberO("[C_ACCOUNT].[PARENTH1].[A_2540320]","","A_2540320","","000")</f>
        <v>A_2540320</v>
      </c>
      <c r="L232" s="293" t="str">
        <f>_xll.EPMMemberDesc(K232)</f>
        <v>Oth Reg Liab-Deferred Allowance Auction Credits</v>
      </c>
      <c r="M232" s="293">
        <v>0</v>
      </c>
      <c r="N232" s="293">
        <v>0</v>
      </c>
      <c r="O232" s="293">
        <v>0</v>
      </c>
      <c r="P232" s="293">
        <v>34244</v>
      </c>
      <c r="Q232" s="293">
        <v>34244</v>
      </c>
      <c r="R232" s="293">
        <v>34244</v>
      </c>
      <c r="S232" s="293">
        <v>34236</v>
      </c>
      <c r="T232" s="293">
        <v>34236</v>
      </c>
      <c r="U232" s="293">
        <v>34236</v>
      </c>
      <c r="V232" s="293">
        <v>34227</v>
      </c>
      <c r="W232" s="293">
        <v>34227</v>
      </c>
      <c r="X232" s="293">
        <v>34227</v>
      </c>
      <c r="Y232" s="293">
        <v>34219</v>
      </c>
      <c r="Z232" s="293">
        <v>34219</v>
      </c>
      <c r="AA232" s="293">
        <v>34219</v>
      </c>
      <c r="AB232" s="293">
        <v>34219</v>
      </c>
    </row>
    <row r="233" spans="10:28" ht="15" customHeight="1" x14ac:dyDescent="0.2">
      <c r="J233" s="286" t="str">
        <f xml:space="preserve"> _xll.EPMOlapMemberO("[COSTCENTER].[PARENTH1].[1001]","","1001","","000")</f>
        <v>1001</v>
      </c>
      <c r="K233" s="294" t="str">
        <f xml:space="preserve"> _xll.EPMOlapMemberO("[C_ACCOUNT].[PARENTH1].[REG_LIA_TAX]","","REG_LIA_TAX","","000")</f>
        <v>REG_LIA_TAX</v>
      </c>
      <c r="L233" s="286" t="str">
        <f>_xll.EPMMemberDesc(K233)</f>
        <v>Regulatory liabilities - tax related</v>
      </c>
      <c r="M233" s="287">
        <v>0</v>
      </c>
      <c r="N233" s="287">
        <v>0</v>
      </c>
      <c r="O233" s="287">
        <v>0</v>
      </c>
      <c r="P233" s="287">
        <v>588792807.52999997</v>
      </c>
      <c r="Q233" s="287">
        <v>585669376.13</v>
      </c>
      <c r="R233" s="287">
        <v>588763265.41999996</v>
      </c>
      <c r="S233" s="287">
        <v>585521709.72000003</v>
      </c>
      <c r="T233" s="287">
        <v>582280152.41999996</v>
      </c>
      <c r="U233" s="287">
        <v>578053460.92999995</v>
      </c>
      <c r="V233" s="287">
        <v>574796212.34000003</v>
      </c>
      <c r="W233" s="287">
        <v>571559769.42999995</v>
      </c>
      <c r="X233" s="287">
        <v>560717433.36000001</v>
      </c>
      <c r="Y233" s="287">
        <v>557478176.02999997</v>
      </c>
      <c r="Z233" s="287">
        <v>566947297.52999997</v>
      </c>
      <c r="AA233" s="287">
        <v>565928950.72000003</v>
      </c>
      <c r="AB233" s="287">
        <v>565928950.72000003</v>
      </c>
    </row>
    <row r="234" spans="10:28" ht="15" customHeight="1" x14ac:dyDescent="0.25">
      <c r="J234" s="291" t="str">
        <f xml:space="preserve"> _xll.EPMOlapMemberO("[COSTCENTER].[PARENTH1].[1001]","","1001","","000")</f>
        <v>1001</v>
      </c>
      <c r="K234" s="295" t="str">
        <f xml:space="preserve"> _xll.EPMOlapMemberO("[C_ACCOUNT].[PARENTH1].[A_2540610]","","A_2540610","","000")</f>
        <v>A_2540610</v>
      </c>
      <c r="L234" s="293" t="str">
        <f>_xll.EPMMemberDesc(K234)</f>
        <v>Oth Reg Liab-FAS 109 Income Tax</v>
      </c>
      <c r="M234" s="293">
        <v>0</v>
      </c>
      <c r="N234" s="293">
        <v>0</v>
      </c>
      <c r="O234" s="293">
        <v>0</v>
      </c>
      <c r="P234" s="293">
        <v>588792807.52999997</v>
      </c>
      <c r="Q234" s="293">
        <v>585669376.13</v>
      </c>
      <c r="R234" s="293">
        <v>588763265.41999996</v>
      </c>
      <c r="S234" s="293">
        <v>585521709.72000003</v>
      </c>
      <c r="T234" s="293">
        <v>582280152.41999996</v>
      </c>
      <c r="U234" s="293">
        <v>578053460.92999995</v>
      </c>
      <c r="V234" s="293">
        <v>574796212.34000003</v>
      </c>
      <c r="W234" s="293">
        <v>571559769.42999995</v>
      </c>
      <c r="X234" s="293">
        <v>560717433.36000001</v>
      </c>
      <c r="Y234" s="293">
        <v>557478176.02999997</v>
      </c>
      <c r="Z234" s="293">
        <v>566947297.52999997</v>
      </c>
      <c r="AA234" s="293">
        <v>565928950.72000003</v>
      </c>
      <c r="AB234" s="293">
        <v>565928950.72000003</v>
      </c>
    </row>
    <row r="235" spans="10:28" ht="15" customHeight="1" x14ac:dyDescent="0.2">
      <c r="J235" s="286" t="str">
        <f xml:space="preserve"> _xll.EPMOlapMemberO("[COSTCENTER].[PARENTH1].[1001]","","1001","","000")</f>
        <v>1001</v>
      </c>
      <c r="K235" s="290" t="str">
        <f xml:space="preserve"> _xll.EPMOlapMemberO("[C_ACCOUNT].[PARENTH1].[DEF_INCTAX]","","DEF_INCTAX","","000")</f>
        <v>DEF_INCTAX</v>
      </c>
      <c r="L235" s="286" t="str">
        <f>_xll.EPMMemberDesc(K235)</f>
        <v>Deferred income taxes</v>
      </c>
      <c r="M235" s="287">
        <v>0</v>
      </c>
      <c r="N235" s="287">
        <v>0</v>
      </c>
      <c r="O235" s="287">
        <v>0</v>
      </c>
      <c r="P235" s="287">
        <v>1256239309.98</v>
      </c>
      <c r="Q235" s="287">
        <v>1270111026.71</v>
      </c>
      <c r="R235" s="287">
        <v>1275192008.46</v>
      </c>
      <c r="S235" s="287">
        <v>1281473551.1800001</v>
      </c>
      <c r="T235" s="287">
        <v>1288274572.8</v>
      </c>
      <c r="U235" s="287">
        <v>1293401798.0599999</v>
      </c>
      <c r="V235" s="287">
        <v>1298280602.21</v>
      </c>
      <c r="W235" s="287">
        <v>1303785783.51</v>
      </c>
      <c r="X235" s="287">
        <v>1309456096.53</v>
      </c>
      <c r="Y235" s="287">
        <v>1315716784.4400001</v>
      </c>
      <c r="Z235" s="287">
        <v>1316807805.3499999</v>
      </c>
      <c r="AA235" s="287">
        <v>1322943155.3399999</v>
      </c>
      <c r="AB235" s="287">
        <v>1322943155.3399999</v>
      </c>
    </row>
    <row r="236" spans="10:28" ht="15" customHeight="1" x14ac:dyDescent="0.25">
      <c r="J236" s="291" t="str">
        <f xml:space="preserve"> _xll.EPMOlapMemberO("[COSTCENTER].[PARENTH1].[1001]","","1001","","000")</f>
        <v>1001</v>
      </c>
      <c r="K236" s="292" t="str">
        <f xml:space="preserve"> _xll.EPMOlapMemberO("[C_ACCOUNT].[PARENTH1].[A_1900610]","","A_1900610","","000")</f>
        <v>A_1900610</v>
      </c>
      <c r="L236" s="293" t="str">
        <f>_xll.EPMMemberDesc(K236)</f>
        <v>Deferred Tax Fd ITC - FAS109 Inc Tax</v>
      </c>
      <c r="M236" s="293">
        <v>0</v>
      </c>
      <c r="N236" s="293">
        <v>0</v>
      </c>
      <c r="O236" s="293">
        <v>0</v>
      </c>
      <c r="P236" s="293">
        <v>-65714803.780000001</v>
      </c>
      <c r="Q236" s="293">
        <v>-65483052.380000003</v>
      </c>
      <c r="R236" s="293">
        <v>-65251301.07</v>
      </c>
      <c r="S236" s="293">
        <v>-65019549.780000001</v>
      </c>
      <c r="T236" s="293">
        <v>-64787798.350000001</v>
      </c>
      <c r="U236" s="293">
        <v>-64556047.060000002</v>
      </c>
      <c r="V236" s="293">
        <v>-64324295.68</v>
      </c>
      <c r="W236" s="293">
        <v>-64092544.310000002</v>
      </c>
      <c r="X236" s="293">
        <v>-63860792.93</v>
      </c>
      <c r="Y236" s="293">
        <v>-63629041.609999999</v>
      </c>
      <c r="Z236" s="293">
        <v>-76105831.599999994</v>
      </c>
      <c r="AA236" s="293">
        <v>-75874080.25</v>
      </c>
      <c r="AB236" s="293">
        <v>-75874080.25</v>
      </c>
    </row>
    <row r="237" spans="10:28" ht="15" customHeight="1" x14ac:dyDescent="0.25">
      <c r="J237" s="291" t="str">
        <f xml:space="preserve"> _xll.EPMOlapMemberO("[COSTCENTER].[PARENTH1].[1001]","","1001","","000")</f>
        <v>1001</v>
      </c>
      <c r="K237" s="292" t="str">
        <f xml:space="preserve"> _xll.EPMOlapMemberO("[C_ACCOUNT].[PARENTH1].[A_2810300]","","A_2810300","","000")</f>
        <v>A_2810300</v>
      </c>
      <c r="L237" s="293" t="str">
        <f>_xll.EPMMemberDesc(K237)</f>
        <v>DIT Federal Accelerated Amortization Property</v>
      </c>
      <c r="M237" s="293">
        <v>0</v>
      </c>
      <c r="N237" s="293">
        <v>0</v>
      </c>
      <c r="O237" s="293">
        <v>0</v>
      </c>
      <c r="P237" s="293">
        <v>45216152.590000004</v>
      </c>
      <c r="Q237" s="293">
        <v>45243564.479999997</v>
      </c>
      <c r="R237" s="293">
        <v>45270976.359999999</v>
      </c>
      <c r="S237" s="293">
        <v>45298388.229999997</v>
      </c>
      <c r="T237" s="293">
        <v>45325800.119999997</v>
      </c>
      <c r="U237" s="293">
        <v>45353212</v>
      </c>
      <c r="V237" s="293">
        <v>45380623.890000001</v>
      </c>
      <c r="W237" s="293">
        <v>45408035.770000003</v>
      </c>
      <c r="X237" s="293">
        <v>45435447.649999999</v>
      </c>
      <c r="Y237" s="293">
        <v>45462859.539999999</v>
      </c>
      <c r="Z237" s="293">
        <v>45490271.409999996</v>
      </c>
      <c r="AA237" s="293">
        <v>45517683.289999999</v>
      </c>
      <c r="AB237" s="293">
        <v>45517683.289999999</v>
      </c>
    </row>
    <row r="238" spans="10:28" ht="15" customHeight="1" x14ac:dyDescent="0.25">
      <c r="J238" s="291" t="str">
        <f xml:space="preserve"> _xll.EPMOlapMemberO("[COSTCENTER].[PARENTH1].[1001]","","1001","","000")</f>
        <v>1001</v>
      </c>
      <c r="K238" s="292" t="str">
        <f xml:space="preserve"> _xll.EPMOlapMemberO("[C_ACCOUNT].[PARENTH1].[A_2810400]","","A_2810400","","000")</f>
        <v>A_2810400</v>
      </c>
      <c r="L238" s="293" t="str">
        <f>_xll.EPMMemberDesc(K238)</f>
        <v>DIT State Accelerated Amortization Property</v>
      </c>
      <c r="M238" s="293">
        <v>0</v>
      </c>
      <c r="N238" s="293">
        <v>0</v>
      </c>
      <c r="O238" s="293">
        <v>0</v>
      </c>
      <c r="P238" s="293">
        <v>7313960.0099999998</v>
      </c>
      <c r="Q238" s="293">
        <v>7323090.5999999996</v>
      </c>
      <c r="R238" s="293">
        <v>7332221.1799999997</v>
      </c>
      <c r="S238" s="293">
        <v>7341351.7599999998</v>
      </c>
      <c r="T238" s="293">
        <v>7350482.3499999996</v>
      </c>
      <c r="U238" s="293">
        <v>7359612.9299999997</v>
      </c>
      <c r="V238" s="293">
        <v>7368743.5099999998</v>
      </c>
      <c r="W238" s="293">
        <v>7377874.0999999996</v>
      </c>
      <c r="X238" s="293">
        <v>7387004.6799999997</v>
      </c>
      <c r="Y238" s="293">
        <v>7396135.2599999998</v>
      </c>
      <c r="Z238" s="293">
        <v>7405265.8499999996</v>
      </c>
      <c r="AA238" s="293">
        <v>7414396.4299999997</v>
      </c>
      <c r="AB238" s="293">
        <v>7414396.4299999997</v>
      </c>
    </row>
    <row r="239" spans="10:28" ht="15" customHeight="1" x14ac:dyDescent="0.25">
      <c r="J239" s="291" t="str">
        <f xml:space="preserve"> _xll.EPMOlapMemberO("[COSTCENTER].[PARENTH1].[1001]","","1001","","000")</f>
        <v>1001</v>
      </c>
      <c r="K239" s="292" t="str">
        <f xml:space="preserve"> _xll.EPMOlapMemberO("[C_ACCOUNT].[PARENTH1].[A_2820300]","","A_2820300","","000")</f>
        <v>A_2820300</v>
      </c>
      <c r="L239" s="293" t="str">
        <f>_xll.EPMMemberDesc(K239)</f>
        <v>Defd Inc Tax Other Property - Federal</v>
      </c>
      <c r="M239" s="293">
        <v>0</v>
      </c>
      <c r="N239" s="293">
        <v>0</v>
      </c>
      <c r="O239" s="293">
        <v>0</v>
      </c>
      <c r="P239" s="293">
        <v>1368739057.0899999</v>
      </c>
      <c r="Q239" s="293">
        <v>1370710710.1500001</v>
      </c>
      <c r="R239" s="293">
        <v>1372666902.5899999</v>
      </c>
      <c r="S239" s="293">
        <v>1374653451.9000001</v>
      </c>
      <c r="T239" s="293">
        <v>1376637496.45</v>
      </c>
      <c r="U239" s="293">
        <v>1378461785.6199999</v>
      </c>
      <c r="V239" s="293">
        <v>1380206560.5799999</v>
      </c>
      <c r="W239" s="293">
        <v>1381902462.75</v>
      </c>
      <c r="X239" s="293">
        <v>1383548325.1700001</v>
      </c>
      <c r="Y239" s="293">
        <v>1385194140.8</v>
      </c>
      <c r="Z239" s="293">
        <v>1386858399.1199999</v>
      </c>
      <c r="AA239" s="293">
        <v>1388581159.03</v>
      </c>
      <c r="AB239" s="293">
        <v>1388581159.03</v>
      </c>
    </row>
    <row r="240" spans="10:28" ht="15" customHeight="1" x14ac:dyDescent="0.25">
      <c r="J240" s="291" t="str">
        <f xml:space="preserve"> _xll.EPMOlapMemberO("[COSTCENTER].[PARENTH1].[1001]","","1001","","000")</f>
        <v>1001</v>
      </c>
      <c r="K240" s="292" t="str">
        <f xml:space="preserve"> _xll.EPMOlapMemberO("[C_ACCOUNT].[PARENTH1].[A_2820400]","","A_2820400","","000")</f>
        <v>A_2820400</v>
      </c>
      <c r="L240" s="293" t="str">
        <f>_xll.EPMMemberDesc(K240)</f>
        <v>Defd Inc Tax Other Property - State</v>
      </c>
      <c r="M240" s="293">
        <v>0</v>
      </c>
      <c r="N240" s="293">
        <v>0</v>
      </c>
      <c r="O240" s="293">
        <v>0</v>
      </c>
      <c r="P240" s="293">
        <v>221038862.74000001</v>
      </c>
      <c r="Q240" s="293">
        <v>222358020.36000001</v>
      </c>
      <c r="R240" s="293">
        <v>223673742.78</v>
      </c>
      <c r="S240" s="293">
        <v>224996210.22</v>
      </c>
      <c r="T240" s="293">
        <v>226318121.13999999</v>
      </c>
      <c r="U240" s="293">
        <v>227604535.83000001</v>
      </c>
      <c r="V240" s="293">
        <v>228873283.21000001</v>
      </c>
      <c r="W240" s="293">
        <v>230131171.47</v>
      </c>
      <c r="X240" s="293">
        <v>231377941.34999999</v>
      </c>
      <c r="Y240" s="293">
        <v>232624700.84</v>
      </c>
      <c r="Z240" s="293">
        <v>233875558.13999999</v>
      </c>
      <c r="AA240" s="293">
        <v>235139413.94999999</v>
      </c>
      <c r="AB240" s="293">
        <v>235139413.94999999</v>
      </c>
    </row>
    <row r="241" spans="10:28" ht="15" customHeight="1" x14ac:dyDescent="0.25">
      <c r="J241" s="291" t="str">
        <f xml:space="preserve"> _xll.EPMOlapMemberO("[COSTCENTER].[PARENTH1].[1001]","","1001","","000")</f>
        <v>1001</v>
      </c>
      <c r="K241" s="292" t="str">
        <f xml:space="preserve"> _xll.EPMOlapMemberO("[C_ACCOUNT].[PARENTH1].[A_2820610]","","A_2820610","","000")</f>
        <v>A_2820610</v>
      </c>
      <c r="L241" s="293" t="str">
        <f>_xll.EPMMemberDesc(K241)</f>
        <v>Defd Inc Tax Other Property - FAS109</v>
      </c>
      <c r="M241" s="293">
        <v>0</v>
      </c>
      <c r="N241" s="293">
        <v>0</v>
      </c>
      <c r="O241" s="293">
        <v>0</v>
      </c>
      <c r="P241" s="293">
        <v>-322973336.25999999</v>
      </c>
      <c r="Q241" s="293">
        <v>-320340661.38</v>
      </c>
      <c r="R241" s="293">
        <v>-322321580.88999999</v>
      </c>
      <c r="S241" s="293">
        <v>-319547589.81999999</v>
      </c>
      <c r="T241" s="293">
        <v>-316747111.30000001</v>
      </c>
      <c r="U241" s="293">
        <v>-313166663.10000002</v>
      </c>
      <c r="V241" s="293">
        <v>-310268283.07999998</v>
      </c>
      <c r="W241" s="293">
        <v>-307357971.22000003</v>
      </c>
      <c r="X241" s="293">
        <v>-298739243.00999999</v>
      </c>
      <c r="Y241" s="293">
        <v>-295776499.36000001</v>
      </c>
      <c r="Z241" s="293">
        <v>-287290428.99000001</v>
      </c>
      <c r="AA241" s="293">
        <v>-286445729.31</v>
      </c>
      <c r="AB241" s="293">
        <v>-286445729.31</v>
      </c>
    </row>
    <row r="242" spans="10:28" ht="15" customHeight="1" x14ac:dyDescent="0.25">
      <c r="J242" s="291" t="str">
        <f xml:space="preserve"> _xll.EPMOlapMemberO("[COSTCENTER].[PARENTH1].[1001]","","1001","","000")</f>
        <v>1001</v>
      </c>
      <c r="K242" s="292" t="str">
        <f xml:space="preserve"> _xll.EPMOlapMemberO("[C_ACCOUNT].[PARENTH1].[A_2830300]","","A_2830300","","000")</f>
        <v>A_2830300</v>
      </c>
      <c r="L242" s="293" t="str">
        <f>_xll.EPMMemberDesc(K242)</f>
        <v>DIT Liab-Federal</v>
      </c>
      <c r="M242" s="293">
        <v>0</v>
      </c>
      <c r="N242" s="293">
        <v>0</v>
      </c>
      <c r="O242" s="293">
        <v>0</v>
      </c>
      <c r="P242" s="293">
        <v>10142783.93</v>
      </c>
      <c r="Q242" s="293">
        <v>15722222.57</v>
      </c>
      <c r="R242" s="293">
        <v>20024738.059999999</v>
      </c>
      <c r="S242" s="293">
        <v>19208068</v>
      </c>
      <c r="T242" s="293">
        <v>18789911.800000001</v>
      </c>
      <c r="U242" s="293">
        <v>16173473.18</v>
      </c>
      <c r="V242" s="293">
        <v>14312395.460000001</v>
      </c>
      <c r="W242" s="293">
        <v>13002440.970000001</v>
      </c>
      <c r="X242" s="293">
        <v>4589058.24</v>
      </c>
      <c r="Y242" s="293">
        <v>3889501.56</v>
      </c>
      <c r="Z242" s="293">
        <v>3286360.61</v>
      </c>
      <c r="AA242" s="293">
        <v>5030057.7</v>
      </c>
      <c r="AB242" s="293">
        <v>5030057.7</v>
      </c>
    </row>
    <row r="243" spans="10:28" ht="15" customHeight="1" x14ac:dyDescent="0.25">
      <c r="J243" s="291" t="str">
        <f xml:space="preserve"> _xll.EPMOlapMemberO("[COSTCENTER].[PARENTH1].[1001]","","1001","","000")</f>
        <v>1001</v>
      </c>
      <c r="K243" s="292" t="str">
        <f xml:space="preserve"> _xll.EPMOlapMemberO("[C_ACCOUNT].[PARENTH1].[A_2830330]","","A_2830330","","000")</f>
        <v>A_2830330</v>
      </c>
      <c r="L243" s="293" t="str">
        <f>_xll.EPMMemberDesc(K243)</f>
        <v>DIT Liab-FAS 158 - Federal</v>
      </c>
      <c r="M243" s="293">
        <v>0</v>
      </c>
      <c r="N243" s="293">
        <v>0</v>
      </c>
      <c r="O243" s="293">
        <v>0</v>
      </c>
      <c r="P243" s="293">
        <v>83446881.469999999</v>
      </c>
      <c r="Q243" s="293">
        <v>83446881.469999999</v>
      </c>
      <c r="R243" s="293">
        <v>83446881.469999999</v>
      </c>
      <c r="S243" s="293">
        <v>83446881.469999999</v>
      </c>
      <c r="T243" s="293">
        <v>83446881.469999999</v>
      </c>
      <c r="U243" s="293">
        <v>83446881.469999999</v>
      </c>
      <c r="V243" s="293">
        <v>83446881.469999999</v>
      </c>
      <c r="W243" s="293">
        <v>83446881.469999999</v>
      </c>
      <c r="X243" s="293">
        <v>83446881.469999999</v>
      </c>
      <c r="Y243" s="293">
        <v>83446881.469999999</v>
      </c>
      <c r="Z243" s="293">
        <v>83446881.469999999</v>
      </c>
      <c r="AA243" s="293">
        <v>83446881.469999999</v>
      </c>
      <c r="AB243" s="293">
        <v>83446881.469999999</v>
      </c>
    </row>
    <row r="244" spans="10:28" ht="15" customHeight="1" x14ac:dyDescent="0.25">
      <c r="J244" s="291" t="str">
        <f xml:space="preserve"> _xll.EPMOlapMemberO("[COSTCENTER].[PARENTH1].[1001]","","1001","","000")</f>
        <v>1001</v>
      </c>
      <c r="K244" s="292" t="str">
        <f xml:space="preserve"> _xll.EPMOlapMemberO("[C_ACCOUNT].[PARENTH1].[A_2830340]","","A_2830340","","000")</f>
        <v>A_2830340</v>
      </c>
      <c r="L244" s="293" t="str">
        <f>_xll.EPMMemberDesc(K244)</f>
        <v>DIT Liab-FAS 133 - Federal</v>
      </c>
      <c r="M244" s="293">
        <v>0</v>
      </c>
      <c r="N244" s="293">
        <v>0</v>
      </c>
      <c r="O244" s="293">
        <v>0</v>
      </c>
      <c r="P244" s="293">
        <v>1926508.04</v>
      </c>
      <c r="Q244" s="293">
        <v>1926508.04</v>
      </c>
      <c r="R244" s="293">
        <v>1926508.04</v>
      </c>
      <c r="S244" s="293">
        <v>1926508.04</v>
      </c>
      <c r="T244" s="293">
        <v>1926508.04</v>
      </c>
      <c r="U244" s="293">
        <v>1926508.04</v>
      </c>
      <c r="V244" s="293">
        <v>1926508.04</v>
      </c>
      <c r="W244" s="293">
        <v>1926508.04</v>
      </c>
      <c r="X244" s="293">
        <v>1926508.04</v>
      </c>
      <c r="Y244" s="293">
        <v>1926508.04</v>
      </c>
      <c r="Z244" s="293">
        <v>1926508.04</v>
      </c>
      <c r="AA244" s="293">
        <v>1926508.04</v>
      </c>
      <c r="AB244" s="293">
        <v>1926508.04</v>
      </c>
    </row>
    <row r="245" spans="10:28" ht="15" customHeight="1" x14ac:dyDescent="0.25">
      <c r="J245" s="291" t="str">
        <f xml:space="preserve"> _xll.EPMOlapMemberO("[COSTCENTER].[PARENTH1].[1001]","","1001","","000")</f>
        <v>1001</v>
      </c>
      <c r="K245" s="292" t="str">
        <f xml:space="preserve"> _xll.EPMOlapMemberO("[C_ACCOUNT].[PARENTH1].[A_2830400]","","A_2830400","","000")</f>
        <v>A_2830400</v>
      </c>
      <c r="L245" s="293" t="str">
        <f>_xll.EPMMemberDesc(K245)</f>
        <v>DIT Liab-State</v>
      </c>
      <c r="M245" s="293">
        <v>0</v>
      </c>
      <c r="N245" s="293">
        <v>0</v>
      </c>
      <c r="O245" s="293">
        <v>0</v>
      </c>
      <c r="P245" s="293">
        <v>2168804.5299999998</v>
      </c>
      <c r="Q245" s="293">
        <v>3382198.67</v>
      </c>
      <c r="R245" s="293">
        <v>3280563.51</v>
      </c>
      <c r="S245" s="293">
        <v>3092394.04</v>
      </c>
      <c r="T245" s="293">
        <v>2992771</v>
      </c>
      <c r="U245" s="293">
        <v>2568120.2200000002</v>
      </c>
      <c r="V245" s="293">
        <v>2150495.83</v>
      </c>
      <c r="W245" s="293">
        <v>1851874.6</v>
      </c>
      <c r="X245" s="293">
        <v>1236576.27</v>
      </c>
      <c r="Y245" s="293">
        <v>1074047.03</v>
      </c>
      <c r="Z245" s="293">
        <v>932967.4</v>
      </c>
      <c r="AA245" s="293">
        <v>944915.17</v>
      </c>
      <c r="AB245" s="293">
        <v>944915.17</v>
      </c>
    </row>
    <row r="246" spans="10:28" ht="15" customHeight="1" x14ac:dyDescent="0.25">
      <c r="J246" s="291" t="str">
        <f xml:space="preserve"> _xll.EPMOlapMemberO("[COSTCENTER].[PARENTH1].[1001]","","1001","","000")</f>
        <v>1001</v>
      </c>
      <c r="K246" s="292" t="str">
        <f xml:space="preserve"> _xll.EPMOlapMemberO("[C_ACCOUNT].[PARENTH1].[A_2830430]","","A_2830430","","000")</f>
        <v>A_2830430</v>
      </c>
      <c r="L246" s="293" t="str">
        <f>_xll.EPMMemberDesc(K246)</f>
        <v>DIT Liab-FAS 158 - State</v>
      </c>
      <c r="M246" s="293">
        <v>0</v>
      </c>
      <c r="N246" s="293">
        <v>0</v>
      </c>
      <c r="O246" s="293">
        <v>0</v>
      </c>
      <c r="P246" s="293">
        <v>14191559.15</v>
      </c>
      <c r="Q246" s="293">
        <v>14191559.15</v>
      </c>
      <c r="R246" s="293">
        <v>14191559.15</v>
      </c>
      <c r="S246" s="293">
        <v>14191559.15</v>
      </c>
      <c r="T246" s="293">
        <v>14191559.15</v>
      </c>
      <c r="U246" s="293">
        <v>14191559.15</v>
      </c>
      <c r="V246" s="293">
        <v>14191559.15</v>
      </c>
      <c r="W246" s="293">
        <v>14191559.15</v>
      </c>
      <c r="X246" s="293">
        <v>14191559.15</v>
      </c>
      <c r="Y246" s="293">
        <v>14191559.15</v>
      </c>
      <c r="Z246" s="293">
        <v>14191559.15</v>
      </c>
      <c r="AA246" s="293">
        <v>14191559.15</v>
      </c>
      <c r="AB246" s="293">
        <v>14191559.15</v>
      </c>
    </row>
    <row r="247" spans="10:28" ht="15" customHeight="1" x14ac:dyDescent="0.25">
      <c r="J247" s="291" t="str">
        <f xml:space="preserve"> _xll.EPMOlapMemberO("[COSTCENTER].[PARENTH1].[1001]","","1001","","000")</f>
        <v>1001</v>
      </c>
      <c r="K247" s="292" t="str">
        <f xml:space="preserve"> _xll.EPMOlapMemberO("[C_ACCOUNT].[PARENTH1].[A_2830440]","","A_2830440","","000")</f>
        <v>A_2830440</v>
      </c>
      <c r="L247" s="293" t="str">
        <f>_xll.EPMMemberDesc(K247)</f>
        <v>DIT Liab-FAS 133 - State</v>
      </c>
      <c r="M247" s="293">
        <v>0</v>
      </c>
      <c r="N247" s="293">
        <v>0</v>
      </c>
      <c r="O247" s="293">
        <v>0</v>
      </c>
      <c r="P247" s="293">
        <v>0.2</v>
      </c>
      <c r="Q247" s="293">
        <v>0.2</v>
      </c>
      <c r="R247" s="293">
        <v>0.2</v>
      </c>
      <c r="S247" s="293">
        <v>0.2</v>
      </c>
      <c r="T247" s="293">
        <v>0.2</v>
      </c>
      <c r="U247" s="293">
        <v>0.2</v>
      </c>
      <c r="V247" s="293">
        <v>0.2</v>
      </c>
      <c r="W247" s="293">
        <v>0.2</v>
      </c>
      <c r="X247" s="293">
        <v>0.2</v>
      </c>
      <c r="Y247" s="293">
        <v>0.2</v>
      </c>
      <c r="Z247" s="293">
        <v>0.2</v>
      </c>
      <c r="AA247" s="293">
        <v>0.2</v>
      </c>
      <c r="AB247" s="293">
        <v>0.2</v>
      </c>
    </row>
    <row r="248" spans="10:28" ht="15" customHeight="1" x14ac:dyDescent="0.25">
      <c r="J248" s="291" t="str">
        <f xml:space="preserve"> _xll.EPMOlapMemberO("[COSTCENTER].[PARENTH1].[1001]","","1001","","000")</f>
        <v>1001</v>
      </c>
      <c r="K248" s="292" t="str">
        <f xml:space="preserve"> _xll.EPMOlapMemberO("[C_ACCOUNT].[PARENTH1].[A_2830610]","","A_2830610","","000")</f>
        <v>A_2830610</v>
      </c>
      <c r="L248" s="293" t="str">
        <f>_xll.EPMMemberDesc(K248)</f>
        <v>DIT Liab-FAS109 - Other</v>
      </c>
      <c r="M248" s="293">
        <v>0</v>
      </c>
      <c r="N248" s="293">
        <v>0</v>
      </c>
      <c r="O248" s="293">
        <v>0</v>
      </c>
      <c r="P248" s="293">
        <v>-109754263.5</v>
      </c>
      <c r="Q248" s="293">
        <v>-108861522.04000001</v>
      </c>
      <c r="R248" s="293">
        <v>-109535072.81</v>
      </c>
      <c r="S248" s="293">
        <v>-108594355.17</v>
      </c>
      <c r="T248" s="293">
        <v>-107644645.25</v>
      </c>
      <c r="U248" s="293">
        <v>-106430139.45999999</v>
      </c>
      <c r="V248" s="293">
        <v>-105447192.45</v>
      </c>
      <c r="W248" s="293">
        <v>-104460194.62</v>
      </c>
      <c r="X248" s="293">
        <v>-101535217.94</v>
      </c>
      <c r="Y248" s="293">
        <v>-100530419.73</v>
      </c>
      <c r="Z248" s="293">
        <v>-97650479.75</v>
      </c>
      <c r="AA248" s="293">
        <v>-97364746.890000001</v>
      </c>
      <c r="AB248" s="293">
        <v>-97364746.890000001</v>
      </c>
    </row>
    <row r="249" spans="10:28" ht="15" customHeight="1" x14ac:dyDescent="0.25">
      <c r="J249" s="291" t="str">
        <f xml:space="preserve"> _xll.EPMOlapMemberO("[COSTCENTER].[PARENTH1].[1001]","","1001","","000")</f>
        <v>1001</v>
      </c>
      <c r="K249" s="292" t="str">
        <f xml:space="preserve"> _xll.EPMOlapMemberO("[C_ACCOUNT].[PARENTH1].[A_2830611]","","A_2830611","","000")</f>
        <v>A_2830611</v>
      </c>
      <c r="L249" s="293" t="str">
        <f>_xll.EPMMemberDesc(K249)</f>
        <v>DIT Liab-Other Gross Up Medicare Part D</v>
      </c>
      <c r="M249" s="293">
        <v>0</v>
      </c>
      <c r="N249" s="293">
        <v>0</v>
      </c>
      <c r="O249" s="293">
        <v>0</v>
      </c>
      <c r="P249" s="293">
        <v>497143.77</v>
      </c>
      <c r="Q249" s="293">
        <v>491506.82</v>
      </c>
      <c r="R249" s="293">
        <v>485869.89</v>
      </c>
      <c r="S249" s="293">
        <v>480232.94</v>
      </c>
      <c r="T249" s="293">
        <v>474595.98</v>
      </c>
      <c r="U249" s="293">
        <v>468959.04</v>
      </c>
      <c r="V249" s="293">
        <v>463322.08</v>
      </c>
      <c r="W249" s="293">
        <v>457685.14</v>
      </c>
      <c r="X249" s="293">
        <v>452048.19</v>
      </c>
      <c r="Y249" s="293">
        <v>446411.25</v>
      </c>
      <c r="Z249" s="293">
        <v>440774.3</v>
      </c>
      <c r="AA249" s="293">
        <v>435137.36</v>
      </c>
      <c r="AB249" s="293">
        <v>435137.36</v>
      </c>
    </row>
    <row r="250" spans="10:28" ht="15" customHeight="1" x14ac:dyDescent="0.2">
      <c r="J250" s="286" t="str">
        <f xml:space="preserve"> _xll.EPMOlapMemberO("[COSTCENTER].[PARENTH1].[1001]","","1001","","000")</f>
        <v>1001</v>
      </c>
      <c r="K250" s="290" t="str">
        <f xml:space="preserve"> _xll.EPMOlapMemberO("[C_ACCOUNT].[PARENTH1].[DEF_CR_OTH_LIA]","","DEF_CR_OTH_LIA","","000")</f>
        <v>DEF_CR_OTH_LIA</v>
      </c>
      <c r="L250" s="286" t="str">
        <f>_xll.EPMMemberDesc(K250)</f>
        <v>Deferred Credits and other liabilities</v>
      </c>
      <c r="M250" s="287">
        <v>0</v>
      </c>
      <c r="N250" s="287">
        <v>0</v>
      </c>
      <c r="O250" s="287">
        <v>0</v>
      </c>
      <c r="P250" s="287">
        <v>245142823.45063281</v>
      </c>
      <c r="Q250" s="287">
        <v>245981965.6648317</v>
      </c>
      <c r="R250" s="287">
        <v>243350597.22715229</v>
      </c>
      <c r="S250" s="287">
        <v>238145112.4374769</v>
      </c>
      <c r="T250" s="287">
        <v>238759039.46330309</v>
      </c>
      <c r="U250" s="287">
        <v>240296365.35520589</v>
      </c>
      <c r="V250" s="287">
        <v>235241534.204566</v>
      </c>
      <c r="W250" s="287">
        <v>235856187.34937289</v>
      </c>
      <c r="X250" s="287">
        <v>232245874.26150131</v>
      </c>
      <c r="Y250" s="287">
        <v>232861627.78398809</v>
      </c>
      <c r="Z250" s="287">
        <v>233477863.3768374</v>
      </c>
      <c r="AA250" s="287">
        <v>235538143.85429829</v>
      </c>
      <c r="AB250" s="287">
        <v>235538143.85429829</v>
      </c>
    </row>
    <row r="251" spans="10:28" ht="15" customHeight="1" x14ac:dyDescent="0.2">
      <c r="J251" s="286" t="str">
        <f xml:space="preserve"> _xll.EPMOlapMemberO("[COSTCENTER].[PARENTH1].[1001]","","1001","","000")</f>
        <v>1001</v>
      </c>
      <c r="K251" s="294" t="str">
        <f xml:space="preserve"> _xll.EPMOlapMemberO("[C_ACCOUNT].[PARENTH1].[DEF_CR_OTH_LIA_L]","","DEF_CR_OTH_LIA_L","","000")</f>
        <v>DEF_CR_OTH_LIA_L</v>
      </c>
      <c r="L251" s="286" t="str">
        <f>_xll.EPMMemberDesc(K251)</f>
        <v>Deferred credits and other liabilities</v>
      </c>
      <c r="M251" s="287">
        <v>0</v>
      </c>
      <c r="N251" s="287">
        <v>0</v>
      </c>
      <c r="O251" s="287">
        <v>0</v>
      </c>
      <c r="P251" s="287">
        <v>15454139.660837401</v>
      </c>
      <c r="Q251" s="287">
        <v>15461663.7608374</v>
      </c>
      <c r="R251" s="287">
        <v>12080183.292238001</v>
      </c>
      <c r="S251" s="287">
        <v>12088064.142238</v>
      </c>
      <c r="T251" s="287">
        <v>12095853.642238</v>
      </c>
      <c r="U251" s="287">
        <v>13014173.5631855</v>
      </c>
      <c r="V251" s="287">
        <v>12572044.103185499</v>
      </c>
      <c r="W251" s="287">
        <v>12579899.953185501</v>
      </c>
      <c r="X251" s="287">
        <v>13673286.224133</v>
      </c>
      <c r="Y251" s="287">
        <v>13681233.424133001</v>
      </c>
      <c r="Z251" s="287">
        <v>13689155.624133</v>
      </c>
      <c r="AA251" s="287">
        <v>14782608.2450804</v>
      </c>
      <c r="AB251" s="287">
        <v>14782608.2450804</v>
      </c>
    </row>
    <row r="252" spans="10:28" ht="15" customHeight="1" x14ac:dyDescent="0.25">
      <c r="J252" s="291" t="str">
        <f xml:space="preserve"> _xll.EPMOlapMemberO("[COSTCENTER].[PARENTH1].[1001]","","1001","","000")</f>
        <v>1001</v>
      </c>
      <c r="K252" s="295" t="str">
        <f xml:space="preserve"> _xll.EPMOlapMemberO("[C_ACCOUNT].[PARENTH1].[A_2282010]","","A_2282010","","000")</f>
        <v>A_2282010</v>
      </c>
      <c r="L252" s="293" t="str">
        <f>_xll.EPMMemberDesc(K252)</f>
        <v>I&amp;D General Liability Reserve</v>
      </c>
      <c r="M252" s="293">
        <v>0</v>
      </c>
      <c r="N252" s="293">
        <v>0</v>
      </c>
      <c r="O252" s="293">
        <v>0</v>
      </c>
      <c r="P252" s="293">
        <v>6291560</v>
      </c>
      <c r="Q252" s="293">
        <v>6291560</v>
      </c>
      <c r="R252" s="293">
        <v>6291560</v>
      </c>
      <c r="S252" s="293">
        <v>6291560</v>
      </c>
      <c r="T252" s="293">
        <v>6291560</v>
      </c>
      <c r="U252" s="293">
        <v>6291560</v>
      </c>
      <c r="V252" s="293">
        <v>5859161</v>
      </c>
      <c r="W252" s="293">
        <v>5859161</v>
      </c>
      <c r="X252" s="293">
        <v>5859161</v>
      </c>
      <c r="Y252" s="293">
        <v>5859161</v>
      </c>
      <c r="Z252" s="293">
        <v>5859161</v>
      </c>
      <c r="AA252" s="293">
        <v>5859161</v>
      </c>
      <c r="AB252" s="293">
        <v>5859161</v>
      </c>
    </row>
    <row r="253" spans="10:28" ht="15" customHeight="1" x14ac:dyDescent="0.25">
      <c r="J253" s="291" t="str">
        <f xml:space="preserve"> _xll.EPMOlapMemberO("[COSTCENTER].[PARENTH1].[1001]","","1001","","000")</f>
        <v>1001</v>
      </c>
      <c r="K253" s="295" t="str">
        <f xml:space="preserve"> _xll.EPMOlapMemberO("[C_ACCOUNT].[PARENTH1].[A_2282020]","","A_2282020","","000")</f>
        <v>A_2282020</v>
      </c>
      <c r="L253" s="293" t="str">
        <f>_xll.EPMMemberDesc(K253)</f>
        <v>I&amp;D Workers Compensation Reserve</v>
      </c>
      <c r="M253" s="293">
        <v>0</v>
      </c>
      <c r="N253" s="293">
        <v>0</v>
      </c>
      <c r="O253" s="293">
        <v>0</v>
      </c>
      <c r="P253" s="293">
        <v>3214412</v>
      </c>
      <c r="Q253" s="293">
        <v>3214412</v>
      </c>
      <c r="R253" s="293">
        <v>3214412</v>
      </c>
      <c r="S253" s="293">
        <v>3214412</v>
      </c>
      <c r="T253" s="293">
        <v>3214412</v>
      </c>
      <c r="U253" s="293">
        <v>3214412</v>
      </c>
      <c r="V253" s="293">
        <v>3201801</v>
      </c>
      <c r="W253" s="293">
        <v>3201801</v>
      </c>
      <c r="X253" s="293">
        <v>3201801</v>
      </c>
      <c r="Y253" s="293">
        <v>3201801</v>
      </c>
      <c r="Z253" s="293">
        <v>3201801</v>
      </c>
      <c r="AA253" s="293">
        <v>3201801</v>
      </c>
      <c r="AB253" s="293">
        <v>3201801</v>
      </c>
    </row>
    <row r="254" spans="10:28" ht="15" customHeight="1" x14ac:dyDescent="0.25">
      <c r="J254" s="291" t="str">
        <f xml:space="preserve"> _xll.EPMOlapMemberO("[COSTCENTER].[PARENTH1].[1001]","","1001","","000")</f>
        <v>1001</v>
      </c>
      <c r="K254" s="295" t="str">
        <f xml:space="preserve"> _xll.EPMOlapMemberO("[C_ACCOUNT].[PARENTH1].[A_2282040]","","A_2282040","","000")</f>
        <v>A_2282040</v>
      </c>
      <c r="L254" s="293" t="str">
        <f>_xll.EPMMemberDesc(K254)</f>
        <v>I&amp;D Longshore Reserve</v>
      </c>
      <c r="M254" s="293">
        <v>0</v>
      </c>
      <c r="N254" s="293">
        <v>0</v>
      </c>
      <c r="O254" s="293">
        <v>0</v>
      </c>
      <c r="P254" s="293">
        <v>93929.31</v>
      </c>
      <c r="Q254" s="293">
        <v>93929.31</v>
      </c>
      <c r="R254" s="293">
        <v>93929.31</v>
      </c>
      <c r="S254" s="293">
        <v>93929.31</v>
      </c>
      <c r="T254" s="293">
        <v>93929.31</v>
      </c>
      <c r="U254" s="293">
        <v>93929.31</v>
      </c>
      <c r="V254" s="293">
        <v>88929</v>
      </c>
      <c r="W254" s="293">
        <v>88929</v>
      </c>
      <c r="X254" s="293">
        <v>88929</v>
      </c>
      <c r="Y254" s="293">
        <v>88929</v>
      </c>
      <c r="Z254" s="293">
        <v>88929</v>
      </c>
      <c r="AA254" s="293">
        <v>88929</v>
      </c>
      <c r="AB254" s="293">
        <v>88929</v>
      </c>
    </row>
    <row r="255" spans="10:28" ht="15" customHeight="1" x14ac:dyDescent="0.25">
      <c r="J255" s="291" t="str">
        <f xml:space="preserve"> _xll.EPMOlapMemberO("[COSTCENTER].[PARENTH1].[1001]","","1001","","000")</f>
        <v>1001</v>
      </c>
      <c r="K255" s="295" t="str">
        <f xml:space="preserve"> _xll.EPMOlapMemberO("[C_ACCOUNT].[PARENTH1].[A_2530302]","","A_2530302","","000")</f>
        <v>A_2530302</v>
      </c>
      <c r="L255" s="293" t="str">
        <f>_xll.EPMMemberDesc(K255)</f>
        <v>Oth Defd CR-Renewable</v>
      </c>
      <c r="M255" s="293">
        <v>0</v>
      </c>
      <c r="N255" s="293">
        <v>0</v>
      </c>
      <c r="O255" s="293">
        <v>0</v>
      </c>
      <c r="P255" s="293">
        <v>339497.87212999997</v>
      </c>
      <c r="Q255" s="293">
        <v>347021.97213000001</v>
      </c>
      <c r="R255" s="293">
        <v>354504.72213000001</v>
      </c>
      <c r="S255" s="293">
        <v>362385.57212999999</v>
      </c>
      <c r="T255" s="293">
        <v>370175.07212999999</v>
      </c>
      <c r="U255" s="293">
        <v>202989.57212999999</v>
      </c>
      <c r="V255" s="293">
        <v>210870.42212999999</v>
      </c>
      <c r="W255" s="293">
        <v>218726.27213</v>
      </c>
      <c r="X255" s="293">
        <v>226607.12213</v>
      </c>
      <c r="Y255" s="293">
        <v>234554.32212999999</v>
      </c>
      <c r="Z255" s="293">
        <v>242476.52213</v>
      </c>
      <c r="AA255" s="293">
        <v>250423.72213000001</v>
      </c>
      <c r="AB255" s="293">
        <v>250423.72213000001</v>
      </c>
    </row>
    <row r="256" spans="10:28" ht="15" customHeight="1" x14ac:dyDescent="0.25">
      <c r="J256" s="291" t="str">
        <f xml:space="preserve"> _xll.EPMOlapMemberO("[COSTCENTER].[PARENTH1].[1001]","","1001","","000")</f>
        <v>1001</v>
      </c>
      <c r="K256" s="295" t="str">
        <f xml:space="preserve"> _xll.EPMOlapMemberO("[C_ACCOUNT].[PARENTH1].[A_2530310]","","A_2530310","","000")</f>
        <v>A_2530310</v>
      </c>
      <c r="L256" s="293" t="str">
        <f>_xll.EPMMemberDesc(K256)</f>
        <v>Oth Defd CR-Unclaimed Items</v>
      </c>
      <c r="M256" s="293">
        <v>0</v>
      </c>
      <c r="N256" s="293">
        <v>0</v>
      </c>
      <c r="O256" s="293">
        <v>0</v>
      </c>
      <c r="P256" s="293">
        <v>42779.82</v>
      </c>
      <c r="Q256" s="293">
        <v>42779.82</v>
      </c>
      <c r="R256" s="293">
        <v>42779.82</v>
      </c>
      <c r="S256" s="293">
        <v>42779.82</v>
      </c>
      <c r="T256" s="293">
        <v>42779.82</v>
      </c>
      <c r="U256" s="293">
        <v>42779.82</v>
      </c>
      <c r="V256" s="293">
        <v>42779.82</v>
      </c>
      <c r="W256" s="293">
        <v>42779.82</v>
      </c>
      <c r="X256" s="293">
        <v>42779.82</v>
      </c>
      <c r="Y256" s="293">
        <v>42779.82</v>
      </c>
      <c r="Z256" s="293">
        <v>42779.82</v>
      </c>
      <c r="AA256" s="293">
        <v>42779.82</v>
      </c>
      <c r="AB256" s="293">
        <v>42779.82</v>
      </c>
    </row>
    <row r="257" spans="10:28" ht="15" customHeight="1" x14ac:dyDescent="0.25">
      <c r="J257" s="291" t="str">
        <f xml:space="preserve"> _xll.EPMOlapMemberO("[COSTCENTER].[PARENTH1].[1001]","","1001","","000")</f>
        <v>1001</v>
      </c>
      <c r="K257" s="295" t="str">
        <f xml:space="preserve"> _xll.EPMOlapMemberO("[C_ACCOUNT].[PARENTH1].[A_2530340]","","A_2530340","","000")</f>
        <v>A_2530340</v>
      </c>
      <c r="L257" s="293" t="str">
        <f>_xll.EPMMemberDesc(K257)</f>
        <v>Oth Defd CR Long-term incentive</v>
      </c>
      <c r="M257" s="293">
        <v>0</v>
      </c>
      <c r="N257" s="293">
        <v>0</v>
      </c>
      <c r="O257" s="293">
        <v>0</v>
      </c>
      <c r="P257" s="293">
        <v>6779497.9387074001</v>
      </c>
      <c r="Q257" s="293">
        <v>6779497.9387074001</v>
      </c>
      <c r="R257" s="293">
        <v>3390534.7201080001</v>
      </c>
      <c r="S257" s="293">
        <v>3390534.7201080001</v>
      </c>
      <c r="T257" s="293">
        <v>3390534.7201080001</v>
      </c>
      <c r="U257" s="293">
        <v>4476040.1410555001</v>
      </c>
      <c r="V257" s="293">
        <v>4476040.1410555001</v>
      </c>
      <c r="W257" s="293">
        <v>4476040.1410555001</v>
      </c>
      <c r="X257" s="293">
        <v>5561545.5620029997</v>
      </c>
      <c r="Y257" s="293">
        <v>5561545.5620029997</v>
      </c>
      <c r="Z257" s="293">
        <v>5561545.5620029997</v>
      </c>
      <c r="AA257" s="293">
        <v>6647050.9829503996</v>
      </c>
      <c r="AB257" s="293">
        <v>6647050.9829503996</v>
      </c>
    </row>
    <row r="258" spans="10:28" ht="15" customHeight="1" x14ac:dyDescent="0.25">
      <c r="J258" s="291" t="str">
        <f xml:space="preserve"> _xll.EPMOlapMemberO("[COSTCENTER].[PARENTH1].[1001]","","1001","","000")</f>
        <v>1001</v>
      </c>
      <c r="K258" s="295" t="str">
        <f xml:space="preserve"> _xll.EPMOlapMemberO("[C_ACCOUNT].[PARENTH1].[A_2530800]","","A_2530800","","000")</f>
        <v>A_2530800</v>
      </c>
      <c r="L258" s="293" t="str">
        <f>_xll.EPMMemberDesc(K258)</f>
        <v>Oth Defd CR-Miscellaneous</v>
      </c>
      <c r="M258" s="293">
        <v>0</v>
      </c>
      <c r="N258" s="293">
        <v>0</v>
      </c>
      <c r="O258" s="293">
        <v>0</v>
      </c>
      <c r="P258" s="293">
        <v>-1307537.28</v>
      </c>
      <c r="Q258" s="293">
        <v>-1307537.28</v>
      </c>
      <c r="R258" s="293">
        <v>-1307537.28</v>
      </c>
      <c r="S258" s="293">
        <v>-1307537.28</v>
      </c>
      <c r="T258" s="293">
        <v>-1307537.28</v>
      </c>
      <c r="U258" s="293">
        <v>-1307537.28</v>
      </c>
      <c r="V258" s="293">
        <v>-1307537.28</v>
      </c>
      <c r="W258" s="293">
        <v>-1307537.28</v>
      </c>
      <c r="X258" s="293">
        <v>-1307537.28</v>
      </c>
      <c r="Y258" s="293">
        <v>-1307537.28</v>
      </c>
      <c r="Z258" s="293">
        <v>-1307537.28</v>
      </c>
      <c r="AA258" s="293">
        <v>-1307537.28</v>
      </c>
      <c r="AB258" s="293">
        <v>-1307537.28</v>
      </c>
    </row>
    <row r="259" spans="10:28" ht="15" customHeight="1" x14ac:dyDescent="0.2">
      <c r="J259" s="286" t="str">
        <f xml:space="preserve"> _xll.EPMOlapMemberO("[COSTCENTER].[PARENTH1].[1001]","","1001","","000")</f>
        <v>1001</v>
      </c>
      <c r="K259" s="294" t="str">
        <f xml:space="preserve"> _xll.EPMOlapMemberO("[C_ACCOUNT].[PARENTH1].[DEF_CR_BEN]","","DEF_CR_BEN","","000")</f>
        <v>DEF_CR_BEN</v>
      </c>
      <c r="L259" s="286" t="str">
        <f>_xll.EPMMemberDesc(K259)</f>
        <v>Deferred credits - benefit related</v>
      </c>
      <c r="M259" s="287">
        <v>0</v>
      </c>
      <c r="N259" s="287">
        <v>0</v>
      </c>
      <c r="O259" s="287">
        <v>0</v>
      </c>
      <c r="P259" s="287">
        <v>167130980.5</v>
      </c>
      <c r="Q259" s="287">
        <v>167915567.5</v>
      </c>
      <c r="R259" s="287">
        <v>168618155.5</v>
      </c>
      <c r="S259" s="287">
        <v>163358744.5</v>
      </c>
      <c r="T259" s="287">
        <v>163918344.5</v>
      </c>
      <c r="U259" s="287">
        <v>164490317.5</v>
      </c>
      <c r="V259" s="287">
        <v>159830917.5</v>
      </c>
      <c r="W259" s="287">
        <v>160390517.5</v>
      </c>
      <c r="X259" s="287">
        <v>155639118.5</v>
      </c>
      <c r="Y259" s="287">
        <v>156198719.5</v>
      </c>
      <c r="Z259" s="287">
        <v>156758318.5</v>
      </c>
      <c r="AA259" s="287">
        <v>157675919.5</v>
      </c>
      <c r="AB259" s="287">
        <v>157675919.5</v>
      </c>
    </row>
    <row r="260" spans="10:28" ht="15" customHeight="1" x14ac:dyDescent="0.25">
      <c r="J260" s="291" t="str">
        <f xml:space="preserve"> _xll.EPMOlapMemberO("[COSTCENTER].[PARENTH1].[1001]","","1001","","000")</f>
        <v>1001</v>
      </c>
      <c r="K260" s="295" t="str">
        <f xml:space="preserve"> _xll.EPMOlapMemberO("[C_ACCOUNT].[PARENTH1].[A_2283200]","","A_2283200","","000")</f>
        <v>A_2283200</v>
      </c>
      <c r="L260" s="293" t="str">
        <f>_xll.EPMMemberDesc(K260)</f>
        <v>Pension Liability - Non-Current</v>
      </c>
      <c r="M260" s="293">
        <v>0</v>
      </c>
      <c r="N260" s="293">
        <v>0</v>
      </c>
      <c r="O260" s="293">
        <v>0</v>
      </c>
      <c r="P260" s="293">
        <v>-193150854</v>
      </c>
      <c r="Q260" s="293">
        <v>-192365654</v>
      </c>
      <c r="R260" s="293">
        <v>-191580455</v>
      </c>
      <c r="S260" s="293">
        <v>-196614255</v>
      </c>
      <c r="T260" s="293">
        <v>-195829055</v>
      </c>
      <c r="U260" s="293">
        <v>-195043855</v>
      </c>
      <c r="V260" s="293">
        <v>-200077656</v>
      </c>
      <c r="W260" s="293">
        <v>-199292456</v>
      </c>
      <c r="X260" s="293">
        <v>-204326256</v>
      </c>
      <c r="Y260" s="293">
        <v>-203541056</v>
      </c>
      <c r="Z260" s="293">
        <v>-202755857</v>
      </c>
      <c r="AA260" s="293">
        <v>-201970657</v>
      </c>
      <c r="AB260" s="293">
        <v>-201970657</v>
      </c>
    </row>
    <row r="261" spans="10:28" ht="15" customHeight="1" x14ac:dyDescent="0.25">
      <c r="J261" s="291" t="str">
        <f xml:space="preserve"> _xll.EPMOlapMemberO("[COSTCENTER].[PARENTH1].[1001]","","1001","","000")</f>
        <v>1001</v>
      </c>
      <c r="K261" s="295" t="str">
        <f xml:space="preserve"> _xll.EPMOlapMemberO("[C_ACCOUNT].[PARENTH1].[A_2283201]","","A_2283201","","000")</f>
        <v>A_2283201</v>
      </c>
      <c r="L261" s="293" t="str">
        <f>_xll.EPMMemberDesc(K261)</f>
        <v>Pension Liability FAS158 - Non-Current</v>
      </c>
      <c r="M261" s="293">
        <v>0</v>
      </c>
      <c r="N261" s="293">
        <v>0</v>
      </c>
      <c r="O261" s="293">
        <v>0</v>
      </c>
      <c r="P261" s="293">
        <v>204980612</v>
      </c>
      <c r="Q261" s="293">
        <v>204980612</v>
      </c>
      <c r="R261" s="293">
        <v>204980612</v>
      </c>
      <c r="S261" s="293">
        <v>204980612</v>
      </c>
      <c r="T261" s="293">
        <v>204980612</v>
      </c>
      <c r="U261" s="293">
        <v>204980612</v>
      </c>
      <c r="V261" s="293">
        <v>204980612</v>
      </c>
      <c r="W261" s="293">
        <v>204980612</v>
      </c>
      <c r="X261" s="293">
        <v>204980612</v>
      </c>
      <c r="Y261" s="293">
        <v>204980612</v>
      </c>
      <c r="Z261" s="293">
        <v>204980612</v>
      </c>
      <c r="AA261" s="293">
        <v>204980612</v>
      </c>
      <c r="AB261" s="293">
        <v>204980612</v>
      </c>
    </row>
    <row r="262" spans="10:28" ht="15" customHeight="1" x14ac:dyDescent="0.25">
      <c r="J262" s="291" t="str">
        <f xml:space="preserve"> _xll.EPMOlapMemberO("[COSTCENTER].[PARENTH1].[1001]","","1001","","000")</f>
        <v>1001</v>
      </c>
      <c r="K262" s="295" t="str">
        <f xml:space="preserve"> _xll.EPMOlapMemberO("[C_ACCOUNT].[PARENTH1].[A_2283210]","","A_2283210","","000")</f>
        <v>A_2283210</v>
      </c>
      <c r="L262" s="293" t="str">
        <f>_xll.EPMMemberDesc(K262)</f>
        <v>SERP Liability - Non-Current</v>
      </c>
      <c r="M262" s="293">
        <v>0</v>
      </c>
      <c r="N262" s="293">
        <v>0</v>
      </c>
      <c r="O262" s="293">
        <v>0</v>
      </c>
      <c r="P262" s="293">
        <v>4336721</v>
      </c>
      <c r="Q262" s="293">
        <v>4299872</v>
      </c>
      <c r="R262" s="293">
        <v>4263023</v>
      </c>
      <c r="S262" s="293">
        <v>4226175</v>
      </c>
      <c r="T262" s="293">
        <v>4189326</v>
      </c>
      <c r="U262" s="293">
        <v>4152478</v>
      </c>
      <c r="V262" s="293">
        <v>4115629</v>
      </c>
      <c r="W262" s="293">
        <v>4078780</v>
      </c>
      <c r="X262" s="293">
        <v>4041932</v>
      </c>
      <c r="Y262" s="293">
        <v>4005083</v>
      </c>
      <c r="Z262" s="293">
        <v>3968234</v>
      </c>
      <c r="AA262" s="293">
        <v>3931386</v>
      </c>
      <c r="AB262" s="293">
        <v>3931386</v>
      </c>
    </row>
    <row r="263" spans="10:28" ht="15" customHeight="1" x14ac:dyDescent="0.25">
      <c r="J263" s="291" t="str">
        <f xml:space="preserve"> _xll.EPMOlapMemberO("[COSTCENTER].[PARENTH1].[1001]","","1001","","000")</f>
        <v>1001</v>
      </c>
      <c r="K263" s="295" t="str">
        <f xml:space="preserve"> _xll.EPMOlapMemberO("[C_ACCOUNT].[PARENTH1].[A_2283211]","","A_2283211","","000")</f>
        <v>A_2283211</v>
      </c>
      <c r="L263" s="293" t="str">
        <f>_xll.EPMMemberDesc(K263)</f>
        <v>SERP Liability FAS158 - Non-Current</v>
      </c>
      <c r="M263" s="293">
        <v>0</v>
      </c>
      <c r="N263" s="293">
        <v>0</v>
      </c>
      <c r="O263" s="293">
        <v>0</v>
      </c>
      <c r="P263" s="293">
        <v>2242628</v>
      </c>
      <c r="Q263" s="293">
        <v>2242628</v>
      </c>
      <c r="R263" s="293">
        <v>2242628</v>
      </c>
      <c r="S263" s="293">
        <v>2242628</v>
      </c>
      <c r="T263" s="293">
        <v>2242628</v>
      </c>
      <c r="U263" s="293">
        <v>2242628</v>
      </c>
      <c r="V263" s="293">
        <v>2242628</v>
      </c>
      <c r="W263" s="293">
        <v>2242628</v>
      </c>
      <c r="X263" s="293">
        <v>2242628</v>
      </c>
      <c r="Y263" s="293">
        <v>2242628</v>
      </c>
      <c r="Z263" s="293">
        <v>2242628</v>
      </c>
      <c r="AA263" s="293">
        <v>2242628</v>
      </c>
      <c r="AB263" s="293">
        <v>2242628</v>
      </c>
    </row>
    <row r="264" spans="10:28" ht="15" customHeight="1" x14ac:dyDescent="0.25">
      <c r="J264" s="291" t="str">
        <f xml:space="preserve"> _xll.EPMOlapMemberO("[COSTCENTER].[PARENTH1].[1001]","","1001","","000")</f>
        <v>1001</v>
      </c>
      <c r="K264" s="295" t="str">
        <f xml:space="preserve"> _xll.EPMOlapMemberO("[C_ACCOUNT].[PARENTH1].[A_2283220]","","A_2283220","","000")</f>
        <v>A_2283220</v>
      </c>
      <c r="L264" s="293" t="str">
        <f>_xll.EPMMemberDesc(K264)</f>
        <v>Restoration Benefit Plan Liability - Non-Current</v>
      </c>
      <c r="M264" s="293">
        <v>0</v>
      </c>
      <c r="N264" s="293">
        <v>0</v>
      </c>
      <c r="O264" s="293">
        <v>0</v>
      </c>
      <c r="P264" s="293">
        <v>127951</v>
      </c>
      <c r="Q264" s="293">
        <v>151417</v>
      </c>
      <c r="R264" s="293">
        <v>174883</v>
      </c>
      <c r="S264" s="293">
        <v>198349</v>
      </c>
      <c r="T264" s="293">
        <v>221815</v>
      </c>
      <c r="U264" s="293">
        <v>249653</v>
      </c>
      <c r="V264" s="293">
        <v>273119</v>
      </c>
      <c r="W264" s="293">
        <v>296585</v>
      </c>
      <c r="X264" s="293">
        <v>320051</v>
      </c>
      <c r="Y264" s="293">
        <v>343517</v>
      </c>
      <c r="Z264" s="293">
        <v>366983</v>
      </c>
      <c r="AA264" s="293">
        <v>390449</v>
      </c>
      <c r="AB264" s="293">
        <v>390449</v>
      </c>
    </row>
    <row r="265" spans="10:28" ht="15" customHeight="1" x14ac:dyDescent="0.25">
      <c r="J265" s="291" t="str">
        <f xml:space="preserve"> _xll.EPMOlapMemberO("[COSTCENTER].[PARENTH1].[1001]","","1001","","000")</f>
        <v>1001</v>
      </c>
      <c r="K265" s="295" t="str">
        <f xml:space="preserve"> _xll.EPMOlapMemberO("[C_ACCOUNT].[PARENTH1].[A_2283221]","","A_2283221","","000")</f>
        <v>A_2283221</v>
      </c>
      <c r="L265" s="293" t="str">
        <f>_xll.EPMMemberDesc(K265)</f>
        <v>Restoration Benefit Plan Liab FAS158 - Non-Current</v>
      </c>
      <c r="M265" s="293">
        <v>0</v>
      </c>
      <c r="N265" s="293">
        <v>0</v>
      </c>
      <c r="O265" s="293">
        <v>0</v>
      </c>
      <c r="P265" s="293">
        <v>1392747.5</v>
      </c>
      <c r="Q265" s="293">
        <v>1392747.5</v>
      </c>
      <c r="R265" s="293">
        <v>1392747.5</v>
      </c>
      <c r="S265" s="293">
        <v>1392747.5</v>
      </c>
      <c r="T265" s="293">
        <v>1392747.5</v>
      </c>
      <c r="U265" s="293">
        <v>1392747.5</v>
      </c>
      <c r="V265" s="293">
        <v>1392747.5</v>
      </c>
      <c r="W265" s="293">
        <v>1392747.5</v>
      </c>
      <c r="X265" s="293">
        <v>1392747.5</v>
      </c>
      <c r="Y265" s="293">
        <v>1392747.5</v>
      </c>
      <c r="Z265" s="293">
        <v>1392747.5</v>
      </c>
      <c r="AA265" s="293">
        <v>1392747.5</v>
      </c>
      <c r="AB265" s="293">
        <v>1392747.5</v>
      </c>
    </row>
    <row r="266" spans="10:28" ht="15" customHeight="1" x14ac:dyDescent="0.25">
      <c r="J266" s="291" t="str">
        <f xml:space="preserve"> _xll.EPMOlapMemberO("[COSTCENTER].[PARENTH1].[1001]","","1001","","000")</f>
        <v>1001</v>
      </c>
      <c r="K266" s="295" t="str">
        <f xml:space="preserve"> _xll.EPMOlapMemberO("[C_ACCOUNT].[PARENTH1].[A_2283231]","","A_2283231","","000")</f>
        <v>A_2283231</v>
      </c>
      <c r="L266" s="293" t="str">
        <f>_xll.EPMMemberDesc(K266)</f>
        <v>FAS106 Liability FAS158 - Non-Current</v>
      </c>
      <c r="M266" s="293">
        <v>0</v>
      </c>
      <c r="N266" s="293">
        <v>0</v>
      </c>
      <c r="O266" s="293">
        <v>0</v>
      </c>
      <c r="P266" s="293">
        <v>39305608</v>
      </c>
      <c r="Q266" s="293">
        <v>39305608</v>
      </c>
      <c r="R266" s="293">
        <v>39305608</v>
      </c>
      <c r="S266" s="293">
        <v>39305608</v>
      </c>
      <c r="T266" s="293">
        <v>39305608</v>
      </c>
      <c r="U266" s="293">
        <v>39305608</v>
      </c>
      <c r="V266" s="293">
        <v>39305608</v>
      </c>
      <c r="W266" s="293">
        <v>39305608</v>
      </c>
      <c r="X266" s="293">
        <v>39305608</v>
      </c>
      <c r="Y266" s="293">
        <v>39305608</v>
      </c>
      <c r="Z266" s="293">
        <v>39305608</v>
      </c>
      <c r="AA266" s="293">
        <v>39305608</v>
      </c>
      <c r="AB266" s="293">
        <v>39305608</v>
      </c>
    </row>
    <row r="267" spans="10:28" ht="15" customHeight="1" x14ac:dyDescent="0.25">
      <c r="J267" s="291" t="str">
        <f xml:space="preserve"> _xll.EPMOlapMemberO("[COSTCENTER].[PARENTH1].[1001]","","1001","","000")</f>
        <v>1001</v>
      </c>
      <c r="K267" s="295" t="str">
        <f xml:space="preserve"> _xll.EPMOlapMemberO("[C_ACCOUNT].[PARENTH1].[A_2283232]","","A_2283232","","000")</f>
        <v>A_2283232</v>
      </c>
      <c r="L267" s="293" t="str">
        <f>_xll.EPMMemberDesc(K267)</f>
        <v>FAS106 Liability-Retired - Non-Current</v>
      </c>
      <c r="M267" s="293">
        <v>0</v>
      </c>
      <c r="N267" s="293">
        <v>0</v>
      </c>
      <c r="O267" s="293">
        <v>0</v>
      </c>
      <c r="P267" s="293">
        <v>95320851</v>
      </c>
      <c r="Q267" s="293">
        <v>95261686</v>
      </c>
      <c r="R267" s="293">
        <v>95302522</v>
      </c>
      <c r="S267" s="293">
        <v>95243358</v>
      </c>
      <c r="T267" s="293">
        <v>95184193</v>
      </c>
      <c r="U267" s="293">
        <v>95125029</v>
      </c>
      <c r="V267" s="293">
        <v>95165865</v>
      </c>
      <c r="W267" s="293">
        <v>95106700</v>
      </c>
      <c r="X267" s="293">
        <v>95247536</v>
      </c>
      <c r="Y267" s="293">
        <v>95188372</v>
      </c>
      <c r="Z267" s="293">
        <v>95129207</v>
      </c>
      <c r="AA267" s="293">
        <v>95120043</v>
      </c>
      <c r="AB267" s="293">
        <v>95120043</v>
      </c>
    </row>
    <row r="268" spans="10:28" ht="15" customHeight="1" x14ac:dyDescent="0.25">
      <c r="J268" s="291" t="str">
        <f xml:space="preserve"> _xll.EPMOlapMemberO("[COSTCENTER].[PARENTH1].[1001]","","1001","","000")</f>
        <v>1001</v>
      </c>
      <c r="K268" s="295" t="str">
        <f xml:space="preserve"> _xll.EPMOlapMemberO("[C_ACCOUNT].[PARENTH1].[A_2283240]","","A_2283240","","000")</f>
        <v>A_2283240</v>
      </c>
      <c r="L268" s="293" t="str">
        <f>_xll.EPMMemberDesc(K268)</f>
        <v>FAS112 Liab for Long-term Disability - Non-Current</v>
      </c>
      <c r="M268" s="293">
        <v>0</v>
      </c>
      <c r="N268" s="293">
        <v>0</v>
      </c>
      <c r="O268" s="293">
        <v>0</v>
      </c>
      <c r="P268" s="293">
        <v>12574716</v>
      </c>
      <c r="Q268" s="293">
        <v>12646651</v>
      </c>
      <c r="R268" s="293">
        <v>12536587</v>
      </c>
      <c r="S268" s="293">
        <v>12383522</v>
      </c>
      <c r="T268" s="293">
        <v>12230470</v>
      </c>
      <c r="U268" s="293">
        <v>12085417</v>
      </c>
      <c r="V268" s="293">
        <v>12432365</v>
      </c>
      <c r="W268" s="293">
        <v>12279313</v>
      </c>
      <c r="X268" s="293">
        <v>12434260</v>
      </c>
      <c r="Y268" s="293">
        <v>12281208</v>
      </c>
      <c r="Z268" s="293">
        <v>12128156</v>
      </c>
      <c r="AA268" s="293">
        <v>12283103</v>
      </c>
      <c r="AB268" s="293">
        <v>12283103</v>
      </c>
    </row>
    <row r="269" spans="10:28" ht="15" customHeight="1" x14ac:dyDescent="0.2">
      <c r="J269" s="286" t="str">
        <f xml:space="preserve"> _xll.EPMOlapMemberO("[COSTCENTER].[PARENTH1].[1001]","","1001","","000")</f>
        <v>1001</v>
      </c>
      <c r="K269" s="294" t="str">
        <f xml:space="preserve"> _xll.EPMOlapMemberO("[C_ACCOUNT].[PARENTH1].[ARO_OBL_NC]","","ARO_OBL_NC","","000")</f>
        <v>ARO_OBL_NC</v>
      </c>
      <c r="L269" s="286" t="str">
        <f>_xll.EPMMemberDesc(K269)</f>
        <v>ARO Obligation - Non-current</v>
      </c>
      <c r="M269" s="287">
        <v>0</v>
      </c>
      <c r="N269" s="287">
        <v>0</v>
      </c>
      <c r="O269" s="287">
        <v>0</v>
      </c>
      <c r="P269" s="287">
        <v>37461468.839795403</v>
      </c>
      <c r="Q269" s="287">
        <v>37648776.183994301</v>
      </c>
      <c r="R269" s="287">
        <v>37837020.064914301</v>
      </c>
      <c r="S269" s="287">
        <v>38026205.165238902</v>
      </c>
      <c r="T269" s="287">
        <v>38216336.191065103</v>
      </c>
      <c r="U269" s="287">
        <v>38407417.872020401</v>
      </c>
      <c r="V269" s="287">
        <v>38599454.961380497</v>
      </c>
      <c r="W269" s="287">
        <v>38792452.236187398</v>
      </c>
      <c r="X269" s="287">
        <v>38986414.497368298</v>
      </c>
      <c r="Y269" s="287">
        <v>39181346.569855101</v>
      </c>
      <c r="Z269" s="287">
        <v>39377253.302704401</v>
      </c>
      <c r="AA269" s="287">
        <v>39574139.569217898</v>
      </c>
      <c r="AB269" s="287">
        <v>39574139.569217898</v>
      </c>
    </row>
    <row r="270" spans="10:28" ht="15" customHeight="1" x14ac:dyDescent="0.25">
      <c r="J270" s="291" t="str">
        <f xml:space="preserve"> _xll.EPMOlapMemberO("[COSTCENTER].[PARENTH1].[1001]","","1001","","000")</f>
        <v>1001</v>
      </c>
      <c r="K270" s="295" t="str">
        <f xml:space="preserve"> _xll.EPMOlapMemberO("[C_ACCOUNT].[PARENTH1].[A_2300200]","","A_2300200","","000")</f>
        <v>A_2300200</v>
      </c>
      <c r="L270" s="293" t="str">
        <f>_xll.EPMMemberDesc(K270)</f>
        <v>Asset Retirement Obligations - Long-term</v>
      </c>
      <c r="M270" s="293">
        <v>0</v>
      </c>
      <c r="N270" s="293">
        <v>0</v>
      </c>
      <c r="O270" s="293">
        <v>0</v>
      </c>
      <c r="P270" s="293">
        <v>37461468.839795403</v>
      </c>
      <c r="Q270" s="293">
        <v>37648776.183994301</v>
      </c>
      <c r="R270" s="293">
        <v>37837020.064914301</v>
      </c>
      <c r="S270" s="293">
        <v>38026205.165238902</v>
      </c>
      <c r="T270" s="293">
        <v>38216336.191065103</v>
      </c>
      <c r="U270" s="293">
        <v>38407417.872020401</v>
      </c>
      <c r="V270" s="293">
        <v>38599454.961380497</v>
      </c>
      <c r="W270" s="293">
        <v>38792452.236187398</v>
      </c>
      <c r="X270" s="293">
        <v>38986414.497368298</v>
      </c>
      <c r="Y270" s="293">
        <v>39181346.569855101</v>
      </c>
      <c r="Z270" s="293">
        <v>39377253.302704401</v>
      </c>
      <c r="AA270" s="293">
        <v>39574139.569217898</v>
      </c>
      <c r="AB270" s="293">
        <v>39574139.569217898</v>
      </c>
    </row>
    <row r="271" spans="10:28" ht="15" customHeight="1" x14ac:dyDescent="0.2">
      <c r="J271" s="286" t="str">
        <f xml:space="preserve"> _xll.EPMOlapMemberO("[COSTCENTER].[PARENTH1].[1001]","","1001","","000")</f>
        <v>1001</v>
      </c>
      <c r="K271" s="294" t="str">
        <f xml:space="preserve"> _xll.EPMOlapMemberO("[C_ACCOUNT].[PARENTH1].[LONG_T_L_LIAB]","","LONG_T_L_LIAB","","000")</f>
        <v>LONG_T_L_LIAB</v>
      </c>
      <c r="L271" s="286" t="str">
        <f>_xll.EPMMemberDesc(K271)</f>
        <v>Long-term Lease Liabilities</v>
      </c>
      <c r="M271" s="287">
        <v>0</v>
      </c>
      <c r="N271" s="287">
        <v>0</v>
      </c>
      <c r="O271" s="287">
        <v>0</v>
      </c>
      <c r="P271" s="287">
        <v>25096234.449999999</v>
      </c>
      <c r="Q271" s="287">
        <v>24955958.219999999</v>
      </c>
      <c r="R271" s="287">
        <v>24815238.370000001</v>
      </c>
      <c r="S271" s="287">
        <v>24672098.629999999</v>
      </c>
      <c r="T271" s="287">
        <v>24528505.129999999</v>
      </c>
      <c r="U271" s="287">
        <v>24384456.420000002</v>
      </c>
      <c r="V271" s="287">
        <v>24239117.640000001</v>
      </c>
      <c r="W271" s="287">
        <v>24093317.66</v>
      </c>
      <c r="X271" s="287">
        <v>23947055.039999999</v>
      </c>
      <c r="Y271" s="287">
        <v>23800328.289999999</v>
      </c>
      <c r="Z271" s="287">
        <v>23653135.949999999</v>
      </c>
      <c r="AA271" s="287">
        <v>23505476.539999999</v>
      </c>
      <c r="AB271" s="287">
        <v>23505476.539999999</v>
      </c>
    </row>
    <row r="272" spans="10:28" ht="15" customHeight="1" x14ac:dyDescent="0.25">
      <c r="J272" s="291" t="str">
        <f xml:space="preserve"> _xll.EPMOlapMemberO("[COSTCENTER].[PARENTH1].[1001]","","1001","","000")</f>
        <v>1001</v>
      </c>
      <c r="K272" s="295" t="str">
        <f xml:space="preserve"> _xll.EPMOlapMemberO("[C_ACCOUNT].[PARENTH1].[A_2270200]","","A_2270200","","000")</f>
        <v>A_2270200</v>
      </c>
      <c r="L272" s="293" t="str">
        <f>_xll.EPMMemberDesc(K272)</f>
        <v>Long-term Lease Liability - Operating Lease</v>
      </c>
      <c r="M272" s="293">
        <v>0</v>
      </c>
      <c r="N272" s="293">
        <v>0</v>
      </c>
      <c r="O272" s="293">
        <v>0</v>
      </c>
      <c r="P272" s="293">
        <v>25096234.449999999</v>
      </c>
      <c r="Q272" s="293">
        <v>24955958.219999999</v>
      </c>
      <c r="R272" s="293">
        <v>24815238.370000001</v>
      </c>
      <c r="S272" s="293">
        <v>24672098.629999999</v>
      </c>
      <c r="T272" s="293">
        <v>24528505.129999999</v>
      </c>
      <c r="U272" s="293">
        <v>24384456.420000002</v>
      </c>
      <c r="V272" s="293">
        <v>24239117.640000001</v>
      </c>
      <c r="W272" s="293">
        <v>24093317.66</v>
      </c>
      <c r="X272" s="293">
        <v>23947055.039999999</v>
      </c>
      <c r="Y272" s="293">
        <v>23800328.289999999</v>
      </c>
      <c r="Z272" s="293">
        <v>23653135.949999999</v>
      </c>
      <c r="AA272" s="293">
        <v>23505476.539999999</v>
      </c>
      <c r="AB272" s="293">
        <v>23505476.539999999</v>
      </c>
    </row>
    <row r="273" spans="10:28" ht="15" customHeight="1" x14ac:dyDescent="0.2">
      <c r="J273" s="286" t="str">
        <f xml:space="preserve"> _xll.EPMOlapMemberO("[COSTCENTER].[PARENTH1].[1001]","","1001","","000")</f>
        <v>1001</v>
      </c>
      <c r="K273" s="290" t="str">
        <f xml:space="preserve"> _xll.EPMOlapMemberO("[C_ACCOUNT].[PARENTH1].[LT_DEBT_LESSAMT_YR]","","LT_DEBT_LESSAMT_YR","","000")</f>
        <v>LT_DEBT_LESSAMT_YR</v>
      </c>
      <c r="L273" s="286" t="str">
        <f>_xll.EPMMemberDesc(K273)</f>
        <v>Long-term Debt. less amount due within one year</v>
      </c>
      <c r="M273" s="287">
        <v>0</v>
      </c>
      <c r="N273" s="287">
        <v>0</v>
      </c>
      <c r="O273" s="287">
        <v>0</v>
      </c>
      <c r="P273" s="287">
        <v>2603589787.1100001</v>
      </c>
      <c r="Q273" s="287">
        <v>2603719506.2533331</v>
      </c>
      <c r="R273" s="287">
        <v>2603849225.396667</v>
      </c>
      <c r="S273" s="287">
        <v>2603978944.54</v>
      </c>
      <c r="T273" s="287">
        <v>3074371858.1277776</v>
      </c>
      <c r="U273" s="287">
        <v>3074514771.7155557</v>
      </c>
      <c r="V273" s="287">
        <v>3074657685.3033338</v>
      </c>
      <c r="W273" s="287">
        <v>3074800598.8911114</v>
      </c>
      <c r="X273" s="287">
        <v>2849943512.478889</v>
      </c>
      <c r="Y273" s="287">
        <v>2850086426.0666666</v>
      </c>
      <c r="Z273" s="287">
        <v>2850229339.6544442</v>
      </c>
      <c r="AA273" s="287">
        <v>2850372253.2422223</v>
      </c>
      <c r="AB273" s="287">
        <v>2850372253.2422223</v>
      </c>
    </row>
    <row r="274" spans="10:28" ht="15" customHeight="1" x14ac:dyDescent="0.2">
      <c r="J274" s="286" t="str">
        <f xml:space="preserve"> _xll.EPMOlapMemberO("[COSTCENTER].[PARENTH1].[1001]","","1001","","000")</f>
        <v>1001</v>
      </c>
      <c r="K274" s="294" t="str">
        <f xml:space="preserve"> _xll.EPMOlapMemberO("[C_ACCOUNT].[PARENTH1].[RECRSE_LTD_LESSAMT]","","RECRSE_LTD_LESSAMT","","000")</f>
        <v>RECRSE_LTD_LESSAMT</v>
      </c>
      <c r="L274" s="286" t="str">
        <f>_xll.EPMMemberDesc(K274)</f>
        <v>Recourse LTD Less amt</v>
      </c>
      <c r="M274" s="287">
        <v>0</v>
      </c>
      <c r="N274" s="287">
        <v>0</v>
      </c>
      <c r="O274" s="287">
        <v>0</v>
      </c>
      <c r="P274" s="287">
        <v>2603589787.1100001</v>
      </c>
      <c r="Q274" s="287">
        <v>2603719506.2533331</v>
      </c>
      <c r="R274" s="287">
        <v>2603849225.396667</v>
      </c>
      <c r="S274" s="287">
        <v>2603978944.54</v>
      </c>
      <c r="T274" s="287">
        <v>3074371858.1277776</v>
      </c>
      <c r="U274" s="287">
        <v>3074514771.7155557</v>
      </c>
      <c r="V274" s="287">
        <v>3074657685.3033338</v>
      </c>
      <c r="W274" s="287">
        <v>3074800598.8911114</v>
      </c>
      <c r="X274" s="287">
        <v>2849943512.478889</v>
      </c>
      <c r="Y274" s="287">
        <v>2850086426.0666666</v>
      </c>
      <c r="Z274" s="287">
        <v>2850229339.6544442</v>
      </c>
      <c r="AA274" s="287">
        <v>2850372253.2422223</v>
      </c>
      <c r="AB274" s="287">
        <v>2850372253.2422223</v>
      </c>
    </row>
    <row r="275" spans="10:28" ht="15" customHeight="1" x14ac:dyDescent="0.25">
      <c r="J275" s="291" t="str">
        <f xml:space="preserve"> _xll.EPMOlapMemberO("[COSTCENTER].[PARENTH1].[1001]","","1001","","000")</f>
        <v>1001</v>
      </c>
      <c r="K275" s="295" t="str">
        <f xml:space="preserve"> _xll.EPMOlapMemberO("[C_ACCOUNT].[PARENTH1].[A_1810200]","","A_1810200","","000")</f>
        <v>A_1810200</v>
      </c>
      <c r="L275" s="293" t="str">
        <f>_xll.EPMMemberDesc(K275)</f>
        <v>Unamortized Debt Expense - Recourse</v>
      </c>
      <c r="M275" s="293">
        <v>0</v>
      </c>
      <c r="N275" s="293">
        <v>0</v>
      </c>
      <c r="O275" s="293">
        <v>0</v>
      </c>
      <c r="P275" s="293">
        <v>22791164.149999999</v>
      </c>
      <c r="Q275" s="293">
        <v>22692753.3866667</v>
      </c>
      <c r="R275" s="293">
        <v>22594342.623333301</v>
      </c>
      <c r="S275" s="293">
        <v>22495931.859999999</v>
      </c>
      <c r="T275" s="293">
        <v>27134326.652222201</v>
      </c>
      <c r="U275" s="293">
        <v>27022721.444444399</v>
      </c>
      <c r="V275" s="293">
        <v>26911116.236666601</v>
      </c>
      <c r="W275" s="293">
        <v>26799511.0288889</v>
      </c>
      <c r="X275" s="293">
        <v>26687905.821111102</v>
      </c>
      <c r="Y275" s="293">
        <v>26576300.6133333</v>
      </c>
      <c r="Z275" s="293">
        <v>26464695.405555502</v>
      </c>
      <c r="AA275" s="293">
        <v>26353090.1977778</v>
      </c>
      <c r="AB275" s="293">
        <v>26353090.1977778</v>
      </c>
    </row>
    <row r="276" spans="10:28" ht="15" customHeight="1" x14ac:dyDescent="0.25">
      <c r="J276" s="291" t="str">
        <f xml:space="preserve"> _xll.EPMOlapMemberO("[COSTCENTER].[PARENTH1].[1001]","","1001","","000")</f>
        <v>1001</v>
      </c>
      <c r="K276" s="295" t="str">
        <f xml:space="preserve"> _xll.EPMOlapMemberO("[C_ACCOUNT].[PARENTH1].[A_2210200]","","A_2210200","","000")</f>
        <v>A_2210200</v>
      </c>
      <c r="L276" s="293" t="str">
        <f>_xll.EPMMemberDesc(K276)</f>
        <v>Bonds - Recourse - Non-Current</v>
      </c>
      <c r="M276" s="293">
        <v>0</v>
      </c>
      <c r="N276" s="293">
        <v>0</v>
      </c>
      <c r="O276" s="293">
        <v>0</v>
      </c>
      <c r="P276" s="293">
        <v>2635000000</v>
      </c>
      <c r="Q276" s="293">
        <v>2635000000</v>
      </c>
      <c r="R276" s="293">
        <v>2635000000</v>
      </c>
      <c r="S276" s="293">
        <v>2635000000</v>
      </c>
      <c r="T276" s="293">
        <v>3110000000</v>
      </c>
      <c r="U276" s="293">
        <v>3110000000</v>
      </c>
      <c r="V276" s="293">
        <v>3110000000</v>
      </c>
      <c r="W276" s="293">
        <v>3110000000</v>
      </c>
      <c r="X276" s="293">
        <v>2885000000</v>
      </c>
      <c r="Y276" s="293">
        <v>2885000000</v>
      </c>
      <c r="Z276" s="293">
        <v>2885000000</v>
      </c>
      <c r="AA276" s="293">
        <v>2885000000</v>
      </c>
      <c r="AB276" s="293">
        <v>2885000000</v>
      </c>
    </row>
    <row r="277" spans="10:28" ht="15" customHeight="1" x14ac:dyDescent="0.25">
      <c r="J277" s="291" t="str">
        <f xml:space="preserve"> _xll.EPMOlapMemberO("[COSTCENTER].[PARENTH1].[1001]","","1001","","000")</f>
        <v>1001</v>
      </c>
      <c r="K277" s="295" t="str">
        <f xml:space="preserve"> _xll.EPMOlapMemberO("[C_ACCOUNT].[PARENTH1].[A_2260200]","","A_2260200","","000")</f>
        <v>A_2260200</v>
      </c>
      <c r="L277" s="293" t="str">
        <f>_xll.EPMMemberDesc(K277)</f>
        <v>Unamortized Discount Long-term Debt - Recourse</v>
      </c>
      <c r="M277" s="293">
        <v>0</v>
      </c>
      <c r="N277" s="293">
        <v>0</v>
      </c>
      <c r="O277" s="293">
        <v>0</v>
      </c>
      <c r="P277" s="293">
        <v>-8619048.7400000002</v>
      </c>
      <c r="Q277" s="293">
        <v>-8587740.3599999994</v>
      </c>
      <c r="R277" s="293">
        <v>-8556431.9800000004</v>
      </c>
      <c r="S277" s="293">
        <v>-8525123.5999999996</v>
      </c>
      <c r="T277" s="293">
        <v>-8493815.2200000007</v>
      </c>
      <c r="U277" s="293">
        <v>-8462506.8399999999</v>
      </c>
      <c r="V277" s="293">
        <v>-8431198.4600000009</v>
      </c>
      <c r="W277" s="293">
        <v>-8399890.0800000001</v>
      </c>
      <c r="X277" s="293">
        <v>-8368581.7000000002</v>
      </c>
      <c r="Y277" s="293">
        <v>-8337273.3200000003</v>
      </c>
      <c r="Z277" s="293">
        <v>-8305964.9400000004</v>
      </c>
      <c r="AA277" s="293">
        <v>-8274656.5599999996</v>
      </c>
      <c r="AB277" s="293">
        <v>-8274656.5599999996</v>
      </c>
    </row>
    <row r="278" spans="10:28" ht="15" customHeight="1" x14ac:dyDescent="0.2">
      <c r="J278" s="286" t="str">
        <f xml:space="preserve"> _xll.EPMOlapMemberO("[COSTCENTER].[PARENTH1].[1001]","","1001","","000")</f>
        <v>1001</v>
      </c>
      <c r="K278" s="289" t="str">
        <f xml:space="preserve"> _xll.EPMOlapMemberO("[C_ACCOUNT].[PARENTH1].[CAPITAL]","","CAPITAL","","000")</f>
        <v>CAPITAL</v>
      </c>
      <c r="L278" s="286" t="str">
        <f>_xll.EPMMemberDesc(K278)</f>
        <v>CAPITAL</v>
      </c>
      <c r="M278" s="287">
        <v>0</v>
      </c>
      <c r="N278" s="287">
        <v>0</v>
      </c>
      <c r="O278" s="287">
        <v>0</v>
      </c>
      <c r="P278" s="287">
        <v>3562227553.7002473</v>
      </c>
      <c r="Q278" s="287">
        <v>3611432583.6163831</v>
      </c>
      <c r="R278" s="287">
        <v>3621880980.6761761</v>
      </c>
      <c r="S278" s="287">
        <v>3643921495.0086169</v>
      </c>
      <c r="T278" s="287">
        <v>3731886385.0729833</v>
      </c>
      <c r="U278" s="287">
        <v>3768560408.4770241</v>
      </c>
      <c r="V278" s="287">
        <v>3812136697.7861319</v>
      </c>
      <c r="W278" s="287">
        <v>3866623012.3059487</v>
      </c>
      <c r="X278" s="287">
        <v>3910011349.6393242</v>
      </c>
      <c r="Y278" s="287">
        <v>3944454663.5772839</v>
      </c>
      <c r="Z278" s="287">
        <v>3922313348.0913682</v>
      </c>
      <c r="AA278" s="287">
        <v>3938388089.8766575</v>
      </c>
      <c r="AB278" s="287">
        <v>3938388089.8766575</v>
      </c>
    </row>
    <row r="279" spans="10:28" ht="15" customHeight="1" x14ac:dyDescent="0.2">
      <c r="J279" s="286" t="str">
        <f xml:space="preserve"> _xll.EPMOlapMemberO("[COSTCENTER].[PARENTH1].[1001]","","1001","","000")</f>
        <v>1001</v>
      </c>
      <c r="K279" s="290" t="str">
        <f xml:space="preserve"> _xll.EPMOlapMemberO("[C_ACCOUNT].[PARENTH1].[TECO_STKEQ]","","TECO_STKEQ","","000")</f>
        <v>TECO_STKEQ</v>
      </c>
      <c r="L279" s="286" t="str">
        <f>_xll.EPMMemberDesc(K279)</f>
        <v>TECO Energy stockholder's equity</v>
      </c>
      <c r="M279" s="287">
        <v>0</v>
      </c>
      <c r="N279" s="287">
        <v>0</v>
      </c>
      <c r="O279" s="287">
        <v>0</v>
      </c>
      <c r="P279" s="287">
        <v>3563938917.1802473</v>
      </c>
      <c r="Q279" s="287">
        <v>3613135778.0663834</v>
      </c>
      <c r="R279" s="287">
        <v>3623576006.0961761</v>
      </c>
      <c r="S279" s="287">
        <v>3645608351.3986168</v>
      </c>
      <c r="T279" s="287">
        <v>3733565072.4329834</v>
      </c>
      <c r="U279" s="287">
        <v>3770230926.807024</v>
      </c>
      <c r="V279" s="287">
        <v>3813799047.086132</v>
      </c>
      <c r="W279" s="287">
        <v>3868277192.5759487</v>
      </c>
      <c r="X279" s="287">
        <v>3911657360.879324</v>
      </c>
      <c r="Y279" s="287">
        <v>3946092505.7872839</v>
      </c>
      <c r="Z279" s="287">
        <v>3923943021.271368</v>
      </c>
      <c r="AA279" s="287">
        <v>3940009594.0266576</v>
      </c>
      <c r="AB279" s="287">
        <v>3940009594.0266576</v>
      </c>
    </row>
    <row r="280" spans="10:28" ht="15" customHeight="1" x14ac:dyDescent="0.2">
      <c r="J280" s="286" t="str">
        <f xml:space="preserve"> _xll.EPMOlapMemberO("[COSTCENTER].[PARENTH1].[1001]","","1001","","000")</f>
        <v>1001</v>
      </c>
      <c r="K280" s="294" t="str">
        <f xml:space="preserve"> _xll.EPMOlapMemberO("[C_ACCOUNT].[PARENTH1].[COMMON_EQUITY]","","COMMON_EQUITY","","000")</f>
        <v>COMMON_EQUITY</v>
      </c>
      <c r="L280" s="286" t="str">
        <f>_xll.EPMMemberDesc(K280)</f>
        <v>Common Equity A_2110000</v>
      </c>
      <c r="M280" s="287">
        <v>0</v>
      </c>
      <c r="N280" s="287">
        <v>0</v>
      </c>
      <c r="O280" s="287">
        <v>0</v>
      </c>
      <c r="P280" s="287">
        <v>119696800</v>
      </c>
      <c r="Q280" s="287">
        <v>119696800</v>
      </c>
      <c r="R280" s="287">
        <v>119696800</v>
      </c>
      <c r="S280" s="287">
        <v>119696800</v>
      </c>
      <c r="T280" s="287">
        <v>119696800</v>
      </c>
      <c r="U280" s="287">
        <v>119696800</v>
      </c>
      <c r="V280" s="287">
        <v>119696800</v>
      </c>
      <c r="W280" s="287">
        <v>119696800</v>
      </c>
      <c r="X280" s="287">
        <v>119696800</v>
      </c>
      <c r="Y280" s="287">
        <v>119696800</v>
      </c>
      <c r="Z280" s="287">
        <v>119696800</v>
      </c>
      <c r="AA280" s="287">
        <v>119696800</v>
      </c>
      <c r="AB280" s="287">
        <v>119696800</v>
      </c>
    </row>
    <row r="281" spans="10:28" ht="15" customHeight="1" x14ac:dyDescent="0.25">
      <c r="J281" s="291" t="str">
        <f xml:space="preserve"> _xll.EPMOlapMemberO("[COSTCENTER].[PARENTH1].[1001]","","1001","","000")</f>
        <v>1001</v>
      </c>
      <c r="K281" s="295" t="str">
        <f xml:space="preserve"> _xll.EPMOlapMemberO("[C_ACCOUNT].[PARENTH1].[A_2010000]","","A_2010000","","000")</f>
        <v>A_2010000</v>
      </c>
      <c r="L281" s="293" t="str">
        <f>_xll.EPMMemberDesc(K281)</f>
        <v>Common Stock Issued</v>
      </c>
      <c r="M281" s="293">
        <v>0</v>
      </c>
      <c r="N281" s="293">
        <v>0</v>
      </c>
      <c r="O281" s="293">
        <v>0</v>
      </c>
      <c r="P281" s="293">
        <v>119696800</v>
      </c>
      <c r="Q281" s="293">
        <v>119696800</v>
      </c>
      <c r="R281" s="293">
        <v>119696800</v>
      </c>
      <c r="S281" s="293">
        <v>119696800</v>
      </c>
      <c r="T281" s="293">
        <v>119696800</v>
      </c>
      <c r="U281" s="293">
        <v>119696800</v>
      </c>
      <c r="V281" s="293">
        <v>119696800</v>
      </c>
      <c r="W281" s="293">
        <v>119696800</v>
      </c>
      <c r="X281" s="293">
        <v>119696800</v>
      </c>
      <c r="Y281" s="293">
        <v>119696800</v>
      </c>
      <c r="Z281" s="293">
        <v>119696800</v>
      </c>
      <c r="AA281" s="293">
        <v>119696800</v>
      </c>
      <c r="AB281" s="293">
        <v>119696800</v>
      </c>
    </row>
    <row r="282" spans="10:28" ht="15" customHeight="1" x14ac:dyDescent="0.2">
      <c r="J282" s="286" t="str">
        <f xml:space="preserve"> _xll.EPMOlapMemberO("[COSTCENTER].[PARENTH1].[1001]","","1001","","000")</f>
        <v>1001</v>
      </c>
      <c r="K282" s="294" t="str">
        <f xml:space="preserve"> _xll.EPMOlapMemberO("[C_ACCOUNT].[PARENTH1].[ADDNL_PAID_CAP]","","ADDNL_PAID_CAP","","000")</f>
        <v>ADDNL_PAID_CAP</v>
      </c>
      <c r="L282" s="286" t="str">
        <f>_xll.EPMMemberDesc(K282)</f>
        <v>Additional paid in capital</v>
      </c>
      <c r="M282" s="287">
        <v>0</v>
      </c>
      <c r="N282" s="287">
        <v>0</v>
      </c>
      <c r="O282" s="287">
        <v>0</v>
      </c>
      <c r="P282" s="287">
        <v>3225139300</v>
      </c>
      <c r="Q282" s="287">
        <v>3325139300</v>
      </c>
      <c r="R282" s="287">
        <v>3325139300</v>
      </c>
      <c r="S282" s="287">
        <v>3325139300</v>
      </c>
      <c r="T282" s="287">
        <v>3425139300</v>
      </c>
      <c r="U282" s="287">
        <v>3425139300</v>
      </c>
      <c r="V282" s="287">
        <v>3425139300</v>
      </c>
      <c r="W282" s="287">
        <v>3525139300</v>
      </c>
      <c r="X282" s="287">
        <v>3525139300</v>
      </c>
      <c r="Y282" s="287">
        <v>3525139300</v>
      </c>
      <c r="Z282" s="287">
        <v>3615139300</v>
      </c>
      <c r="AA282" s="287">
        <v>3615139300</v>
      </c>
      <c r="AB282" s="287">
        <v>3615139300</v>
      </c>
    </row>
    <row r="283" spans="10:28" ht="15" customHeight="1" x14ac:dyDescent="0.25">
      <c r="J283" s="291" t="str">
        <f xml:space="preserve"> _xll.EPMOlapMemberO("[COSTCENTER].[PARENTH1].[1001]","","1001","","000")</f>
        <v>1001</v>
      </c>
      <c r="K283" s="295" t="str">
        <f xml:space="preserve"> _xll.EPMOlapMemberO("[C_ACCOUNT].[PARENTH1].[A_2110000]","","A_2110000","","000")</f>
        <v>A_2110000</v>
      </c>
      <c r="L283" s="293" t="str">
        <f>_xll.EPMMemberDesc(K283)</f>
        <v>Miscellaneous Paid-in Capital</v>
      </c>
      <c r="M283" s="293">
        <v>0</v>
      </c>
      <c r="N283" s="293">
        <v>0</v>
      </c>
      <c r="O283" s="293">
        <v>0</v>
      </c>
      <c r="P283" s="293">
        <v>3225840200</v>
      </c>
      <c r="Q283" s="293">
        <v>3325840200</v>
      </c>
      <c r="R283" s="293">
        <v>3325840200</v>
      </c>
      <c r="S283" s="293">
        <v>3325840200</v>
      </c>
      <c r="T283" s="293">
        <v>3425840200</v>
      </c>
      <c r="U283" s="293">
        <v>3425840200</v>
      </c>
      <c r="V283" s="293">
        <v>3425840200</v>
      </c>
      <c r="W283" s="293">
        <v>3525840200</v>
      </c>
      <c r="X283" s="293">
        <v>3525840200</v>
      </c>
      <c r="Y283" s="293">
        <v>3525840200</v>
      </c>
      <c r="Z283" s="293">
        <v>3615840200</v>
      </c>
      <c r="AA283" s="293">
        <v>3615840200</v>
      </c>
      <c r="AB283" s="293">
        <v>3615840200</v>
      </c>
    </row>
    <row r="284" spans="10:28" ht="15" customHeight="1" x14ac:dyDescent="0.25">
      <c r="J284" s="291" t="str">
        <f xml:space="preserve"> _xll.EPMOlapMemberO("[COSTCENTER].[PARENTH1].[1001]","","1001","","000")</f>
        <v>1001</v>
      </c>
      <c r="K284" s="295" t="str">
        <f xml:space="preserve"> _xll.EPMOlapMemberO("[C_ACCOUNT].[PARENTH1].[A_2140000]","","A_2140000","","000")</f>
        <v>A_2140000</v>
      </c>
      <c r="L284" s="293" t="str">
        <f>_xll.EPMMemberDesc(K284)</f>
        <v>Capital Stock Expense</v>
      </c>
      <c r="M284" s="293">
        <v>0</v>
      </c>
      <c r="N284" s="293">
        <v>0</v>
      </c>
      <c r="O284" s="293">
        <v>0</v>
      </c>
      <c r="P284" s="293">
        <v>-700900</v>
      </c>
      <c r="Q284" s="293">
        <v>-700900</v>
      </c>
      <c r="R284" s="293">
        <v>-700900</v>
      </c>
      <c r="S284" s="293">
        <v>-700900</v>
      </c>
      <c r="T284" s="293">
        <v>-700900</v>
      </c>
      <c r="U284" s="293">
        <v>-700900</v>
      </c>
      <c r="V284" s="293">
        <v>-700900</v>
      </c>
      <c r="W284" s="293">
        <v>-700900</v>
      </c>
      <c r="X284" s="293">
        <v>-700900</v>
      </c>
      <c r="Y284" s="293">
        <v>-700900</v>
      </c>
      <c r="Z284" s="293">
        <v>-700900</v>
      </c>
      <c r="AA284" s="293">
        <v>-700900</v>
      </c>
      <c r="AB284" s="293">
        <v>-700900</v>
      </c>
    </row>
    <row r="285" spans="10:28" ht="15" customHeight="1" x14ac:dyDescent="0.2">
      <c r="J285" s="286" t="str">
        <f xml:space="preserve"> _xll.EPMOlapMemberO("[COSTCENTER].[PARENTH1].[1001]","","1001","","000")</f>
        <v>1001</v>
      </c>
      <c r="K285" s="294" t="str">
        <f xml:space="preserve"> _xll.EPMOlapMemberO("[C_ACCOUNT].[PARENTH1].[RETAINED_EARNINGS]","","RETAINED_EARNINGS","","000")</f>
        <v>RETAINED_EARNINGS</v>
      </c>
      <c r="L285" s="286" t="str">
        <f>_xll.EPMMemberDesc(K285)</f>
        <v>Retained Earnings</v>
      </c>
      <c r="M285" s="287">
        <v>0</v>
      </c>
      <c r="N285" s="287">
        <v>0</v>
      </c>
      <c r="O285" s="287">
        <v>0</v>
      </c>
      <c r="P285" s="287">
        <v>219102817.18024701</v>
      </c>
      <c r="Q285" s="287">
        <v>168299678.066383</v>
      </c>
      <c r="R285" s="287">
        <v>178739906.096176</v>
      </c>
      <c r="S285" s="287">
        <v>200772251.398617</v>
      </c>
      <c r="T285" s="287">
        <v>188728972.43298301</v>
      </c>
      <c r="U285" s="287">
        <v>225394826.807024</v>
      </c>
      <c r="V285" s="287">
        <v>268962947.08613199</v>
      </c>
      <c r="W285" s="287">
        <v>223441092.57594901</v>
      </c>
      <c r="X285" s="287">
        <v>266821260.87932399</v>
      </c>
      <c r="Y285" s="287">
        <v>301256405.78728402</v>
      </c>
      <c r="Z285" s="287">
        <v>189106921.271368</v>
      </c>
      <c r="AA285" s="287">
        <v>205173494.026658</v>
      </c>
      <c r="AB285" s="287">
        <v>205173494.026658</v>
      </c>
    </row>
    <row r="286" spans="10:28" ht="15" customHeight="1" x14ac:dyDescent="0.25">
      <c r="J286" s="291" t="str">
        <f xml:space="preserve"> _xll.EPMOlapMemberO("[COSTCENTER].[PARENTH1].[1001]","","1001","","000")</f>
        <v>1001</v>
      </c>
      <c r="K286" s="295" t="str">
        <f xml:space="preserve"> _xll.EPMOlapMemberO("[C_ACCOUNT].[PARENTH1].[A_2160000]","","A_2160000","","000")</f>
        <v>A_2160000</v>
      </c>
      <c r="L286" s="293" t="str">
        <f>_xll.EPMMemberDesc(K286)</f>
        <v>Retained Earnings</v>
      </c>
      <c r="M286" s="293">
        <v>0</v>
      </c>
      <c r="N286" s="293">
        <v>0</v>
      </c>
      <c r="O286" s="293">
        <v>0</v>
      </c>
      <c r="P286" s="293">
        <v>219102817.18024701</v>
      </c>
      <c r="Q286" s="293">
        <v>168299678.066383</v>
      </c>
      <c r="R286" s="293">
        <v>178739906.096176</v>
      </c>
      <c r="S286" s="293">
        <v>200772251.398617</v>
      </c>
      <c r="T286" s="293">
        <v>188728972.43298301</v>
      </c>
      <c r="U286" s="293">
        <v>225394826.807024</v>
      </c>
      <c r="V286" s="293">
        <v>268962947.08613199</v>
      </c>
      <c r="W286" s="293">
        <v>223441092.57594901</v>
      </c>
      <c r="X286" s="293">
        <v>266821260.87932399</v>
      </c>
      <c r="Y286" s="293">
        <v>301256405.78728402</v>
      </c>
      <c r="Z286" s="293">
        <v>189106921.271368</v>
      </c>
      <c r="AA286" s="293">
        <v>205173494.026658</v>
      </c>
      <c r="AB286" s="293">
        <v>205173494.026658</v>
      </c>
    </row>
    <row r="287" spans="10:28" ht="15" customHeight="1" x14ac:dyDescent="0.2">
      <c r="J287" s="286" t="str">
        <f xml:space="preserve"> _xll.EPMOlapMemberO("[COSTCENTER].[PARENTH1].[1001]","","1001","","000")</f>
        <v>1001</v>
      </c>
      <c r="K287" s="290" t="str">
        <f xml:space="preserve"> _xll.EPMOlapMemberO("[C_ACCOUNT].[PARENTH1].[ACC_OTH_COMPINC]","","ACC_OTH_COMPINC","","000")</f>
        <v>ACC_OTH_COMPINC</v>
      </c>
      <c r="L287" s="286" t="str">
        <f>_xll.EPMMemberDesc(K287)</f>
        <v>Accumulated other comprehensive income/(loss)</v>
      </c>
      <c r="M287" s="287">
        <v>0</v>
      </c>
      <c r="N287" s="287">
        <v>0</v>
      </c>
      <c r="O287" s="287">
        <v>0</v>
      </c>
      <c r="P287" s="287">
        <v>-1711363.48</v>
      </c>
      <c r="Q287" s="287">
        <v>-1703194.45</v>
      </c>
      <c r="R287" s="287">
        <v>-1695025.42</v>
      </c>
      <c r="S287" s="287">
        <v>-1686856.39</v>
      </c>
      <c r="T287" s="287">
        <v>-1678687.36</v>
      </c>
      <c r="U287" s="287">
        <v>-1670518.33</v>
      </c>
      <c r="V287" s="287">
        <v>-1662349.3</v>
      </c>
      <c r="W287" s="287">
        <v>-1654180.27</v>
      </c>
      <c r="X287" s="287">
        <v>-1646011.24</v>
      </c>
      <c r="Y287" s="287">
        <v>-1637842.21</v>
      </c>
      <c r="Z287" s="287">
        <v>-1629673.18</v>
      </c>
      <c r="AA287" s="287">
        <v>-1621504.15</v>
      </c>
      <c r="AB287" s="287">
        <v>-1621504.15</v>
      </c>
    </row>
    <row r="288" spans="10:28" ht="15" customHeight="1" x14ac:dyDescent="0.2">
      <c r="J288" s="286" t="str">
        <f xml:space="preserve"> _xll.EPMOlapMemberO("[COSTCENTER].[PARENTH1].[1001]","","1001","","000")</f>
        <v>1001</v>
      </c>
      <c r="K288" s="294" t="str">
        <f xml:space="preserve"> _xll.EPMOlapMemberO("[C_ACCOUNT].[PARENTH1].[AOCI_INC]","","AOCI_INC","","000")</f>
        <v>AOCI_INC</v>
      </c>
      <c r="L288" s="286" t="str">
        <f>_xll.EPMMemberDesc(K288)</f>
        <v>AOCI</v>
      </c>
      <c r="M288" s="287">
        <v>0</v>
      </c>
      <c r="N288" s="287">
        <v>0</v>
      </c>
      <c r="O288" s="287">
        <v>0</v>
      </c>
      <c r="P288" s="287">
        <v>-1711363.48</v>
      </c>
      <c r="Q288" s="287">
        <v>-1703194.45</v>
      </c>
      <c r="R288" s="287">
        <v>-1695025.42</v>
      </c>
      <c r="S288" s="287">
        <v>-1686856.39</v>
      </c>
      <c r="T288" s="287">
        <v>-1678687.36</v>
      </c>
      <c r="U288" s="287">
        <v>-1670518.33</v>
      </c>
      <c r="V288" s="287">
        <v>-1662349.3</v>
      </c>
      <c r="W288" s="287">
        <v>-1654180.27</v>
      </c>
      <c r="X288" s="287">
        <v>-1646011.24</v>
      </c>
      <c r="Y288" s="287">
        <v>-1637842.21</v>
      </c>
      <c r="Z288" s="287">
        <v>-1629673.18</v>
      </c>
      <c r="AA288" s="287">
        <v>-1621504.15</v>
      </c>
      <c r="AB288" s="287">
        <v>-1621504.15</v>
      </c>
    </row>
    <row r="289" spans="10:28" ht="15" customHeight="1" x14ac:dyDescent="0.25">
      <c r="J289" s="291" t="str">
        <f xml:space="preserve"> _xll.EPMOlapMemberO("[COSTCENTER].[PARENTH1].[1001]","","1001","","000")</f>
        <v>1001</v>
      </c>
      <c r="K289" s="295" t="str">
        <f xml:space="preserve"> _xll.EPMOlapMemberO("[C_ACCOUNT].[PARENTH1].[A_2190040]","","A_2190040","","000")</f>
        <v>A_2190040</v>
      </c>
      <c r="L289" s="293" t="str">
        <f>_xll.EPMMemberDesc(K289)</f>
        <v>Comprehensive Income - Cash Flow Hedges Pretax</v>
      </c>
      <c r="M289" s="293">
        <v>0</v>
      </c>
      <c r="N289" s="293">
        <v>0</v>
      </c>
      <c r="O289" s="293">
        <v>0</v>
      </c>
      <c r="P289" s="293">
        <v>-1711363.48</v>
      </c>
      <c r="Q289" s="293">
        <v>-1703194.45</v>
      </c>
      <c r="R289" s="293">
        <v>-1695025.42</v>
      </c>
      <c r="S289" s="293">
        <v>-1686856.39</v>
      </c>
      <c r="T289" s="293">
        <v>-1678687.36</v>
      </c>
      <c r="U289" s="293">
        <v>-1670518.33</v>
      </c>
      <c r="V289" s="293">
        <v>-1662349.3</v>
      </c>
      <c r="W289" s="293">
        <v>-1654180.27</v>
      </c>
      <c r="X289" s="293">
        <v>-1646011.24</v>
      </c>
      <c r="Y289" s="293">
        <v>-1637842.21</v>
      </c>
      <c r="Z289" s="293">
        <v>-1629673.18</v>
      </c>
      <c r="AA289" s="293">
        <v>-1621504.15</v>
      </c>
      <c r="AB289" s="293">
        <v>-1621504.15</v>
      </c>
    </row>
    <row r="290" spans="10:28" ht="15" customHeight="1" x14ac:dyDescent="0.2">
      <c r="J290" s="286" t="str">
        <f xml:space="preserve"> _xll.EPMOlapMemberO("[COSTCENTER].[PARENTH1].[1001]","","1001","","000")</f>
        <v>1001</v>
      </c>
      <c r="K290" s="296" t="str">
        <f xml:space="preserve"> _xll.EPMOlapMemberO("[C_ACCOUNT].[PARENTH1].[NET_INCOME]","","NET_INCOME","","000")</f>
        <v>NET_INCOME</v>
      </c>
      <c r="L290" s="286" t="str">
        <f>_xll.EPMMemberDesc(K290)</f>
        <v>NET INCOME</v>
      </c>
      <c r="M290" s="287">
        <v>0</v>
      </c>
      <c r="N290" s="287">
        <v>0</v>
      </c>
      <c r="O290" s="287">
        <v>0</v>
      </c>
      <c r="P290" s="287">
        <v>19466751.343898501</v>
      </c>
      <c r="Q290" s="287">
        <v>14814038.666508</v>
      </c>
      <c r="R290" s="287">
        <v>10440721.8472756</v>
      </c>
      <c r="S290" s="287">
        <v>22032092.249876801</v>
      </c>
      <c r="T290" s="287">
        <v>32678565.5684953</v>
      </c>
      <c r="U290" s="287">
        <v>36665681.8010033</v>
      </c>
      <c r="V290" s="287">
        <v>43568362.284709103</v>
      </c>
      <c r="W290" s="287">
        <v>45854650.427464798</v>
      </c>
      <c r="X290" s="287">
        <v>43380159.312918097</v>
      </c>
      <c r="Y290" s="287">
        <v>34435110.484229401</v>
      </c>
      <c r="Z290" s="287">
        <v>20653731.407382499</v>
      </c>
      <c r="AA290" s="287">
        <v>16066513.030479699</v>
      </c>
      <c r="AB290" s="287">
        <v>340056378.42424113</v>
      </c>
    </row>
    <row r="291" spans="10:28" ht="15" customHeight="1" x14ac:dyDescent="0.2">
      <c r="J291" s="286" t="str">
        <f xml:space="preserve"> _xll.EPMOlapMemberO("[COSTCENTER].[PARENTH1].[1001]","","1001","","000")</f>
        <v>1001</v>
      </c>
      <c r="K291" s="288" t="str">
        <f xml:space="preserve"> _xll.EPMOlapMemberO("[C_ACCOUNT].[PARENTH1].[CNT_OPS]","","CNT_OPS","","000")</f>
        <v>CNT_OPS</v>
      </c>
      <c r="L291" s="286" t="str">
        <f>_xll.EPMMemberDesc(K291)</f>
        <v>Income from Continuing Operations</v>
      </c>
      <c r="M291" s="287">
        <v>0</v>
      </c>
      <c r="N291" s="287">
        <v>0</v>
      </c>
      <c r="O291" s="287">
        <v>0</v>
      </c>
      <c r="P291" s="287">
        <v>19466751.343898501</v>
      </c>
      <c r="Q291" s="287">
        <v>14814038.666508</v>
      </c>
      <c r="R291" s="287">
        <v>10440721.8472756</v>
      </c>
      <c r="S291" s="287">
        <v>22032092.249876801</v>
      </c>
      <c r="T291" s="287">
        <v>32678565.5684953</v>
      </c>
      <c r="U291" s="287">
        <v>36665681.8010033</v>
      </c>
      <c r="V291" s="287">
        <v>43568362.284709103</v>
      </c>
      <c r="W291" s="287">
        <v>45854650.427464798</v>
      </c>
      <c r="X291" s="287">
        <v>43380159.312918097</v>
      </c>
      <c r="Y291" s="287">
        <v>34435110.484229401</v>
      </c>
      <c r="Z291" s="287">
        <v>20653731.407382499</v>
      </c>
      <c r="AA291" s="287">
        <v>16066513.030479699</v>
      </c>
      <c r="AB291" s="287">
        <v>340056378.42424113</v>
      </c>
    </row>
    <row r="292" spans="10:28" ht="15" customHeight="1" x14ac:dyDescent="0.2">
      <c r="J292" s="286" t="str">
        <f xml:space="preserve"> _xll.EPMOlapMemberO("[COSTCENTER].[PARENTH1].[1001]","","1001","","000")</f>
        <v>1001</v>
      </c>
      <c r="K292" s="289" t="str">
        <f xml:space="preserve"> _xll.EPMOlapMemberO("[C_ACCOUNT].[PARENTH1].[OP_REV_EX]","","OP_REV_EX","","000")</f>
        <v>OP_REV_EX</v>
      </c>
      <c r="L292" s="286" t="str">
        <f>_xll.EPMMemberDesc(K292)</f>
        <v>Operating Income</v>
      </c>
      <c r="M292" s="287">
        <v>0</v>
      </c>
      <c r="N292" s="287">
        <v>0</v>
      </c>
      <c r="O292" s="287">
        <v>0</v>
      </c>
      <c r="P292" s="287">
        <v>27674560.381023601</v>
      </c>
      <c r="Q292" s="287">
        <v>21521519.563884702</v>
      </c>
      <c r="R292" s="287">
        <v>21547489.791587301</v>
      </c>
      <c r="S292" s="287">
        <v>30626448.9378222</v>
      </c>
      <c r="T292" s="287">
        <v>44501359.306232996</v>
      </c>
      <c r="U292" s="287">
        <v>48304699.340818003</v>
      </c>
      <c r="V292" s="287">
        <v>58282413.651678801</v>
      </c>
      <c r="W292" s="287">
        <v>61102096.691682801</v>
      </c>
      <c r="X292" s="287">
        <v>49914624.956159703</v>
      </c>
      <c r="Y292" s="287">
        <v>45579023.358285002</v>
      </c>
      <c r="Z292" s="287">
        <v>28736363.8323914</v>
      </c>
      <c r="AA292" s="287">
        <v>26708422.318263099</v>
      </c>
      <c r="AB292" s="287">
        <v>464499022.12982959</v>
      </c>
    </row>
    <row r="293" spans="10:28" ht="15" customHeight="1" x14ac:dyDescent="0.2">
      <c r="J293" s="286" t="str">
        <f xml:space="preserve"> _xll.EPMOlapMemberO("[COSTCENTER].[PARENTH1].[1001]","","1001","","000")</f>
        <v>1001</v>
      </c>
      <c r="K293" s="290" t="str">
        <f xml:space="preserve"> _xll.EPMOlapMemberO("[C_ACCOUNT].[PARENTH1].[REVENUES]","","REVENUES","","000")</f>
        <v>REVENUES</v>
      </c>
      <c r="L293" s="286" t="str">
        <f>_xll.EPMMemberDesc(K293)</f>
        <v>REVENUES</v>
      </c>
      <c r="M293" s="287">
        <v>0</v>
      </c>
      <c r="N293" s="287">
        <v>0</v>
      </c>
      <c r="O293" s="287">
        <v>0</v>
      </c>
      <c r="P293" s="287">
        <v>154313045.95685261</v>
      </c>
      <c r="Q293" s="287">
        <v>141736428.57107049</v>
      </c>
      <c r="R293" s="287">
        <v>145499615.5188328</v>
      </c>
      <c r="S293" s="287">
        <v>154293363.06334749</v>
      </c>
      <c r="T293" s="287">
        <v>174128897.69765741</v>
      </c>
      <c r="U293" s="287">
        <v>190799912.66350859</v>
      </c>
      <c r="V293" s="287">
        <v>200848805.1181677</v>
      </c>
      <c r="W293" s="287">
        <v>202979788.2272785</v>
      </c>
      <c r="X293" s="287">
        <v>194244128.77924451</v>
      </c>
      <c r="Y293" s="287">
        <v>184621843.3115086</v>
      </c>
      <c r="Z293" s="287">
        <v>151329771.34252399</v>
      </c>
      <c r="AA293" s="287">
        <v>157255588.73126349</v>
      </c>
      <c r="AB293" s="287">
        <v>2052051188.981256</v>
      </c>
    </row>
    <row r="294" spans="10:28" ht="15" customHeight="1" x14ac:dyDescent="0.2">
      <c r="J294" s="286" t="str">
        <f xml:space="preserve"> _xll.EPMOlapMemberO("[COSTCENTER].[PARENTH1].[1001]","","1001","","000")</f>
        <v>1001</v>
      </c>
      <c r="K294" s="294" t="str">
        <f xml:space="preserve"> _xll.EPMOlapMemberO("[C_ACCOUNT].[PARENTH1].[REG_ELEC_GAS]","","REG_ELEC_GAS","","000")</f>
        <v>REG_ELEC_GAS</v>
      </c>
      <c r="L294" s="286" t="str">
        <f>_xll.EPMMemberDesc(K294)</f>
        <v>Regulated Electric and Gas</v>
      </c>
      <c r="M294" s="287">
        <v>0</v>
      </c>
      <c r="N294" s="287">
        <v>0</v>
      </c>
      <c r="O294" s="287">
        <v>0</v>
      </c>
      <c r="P294" s="287">
        <v>154313045.95685261</v>
      </c>
      <c r="Q294" s="287">
        <v>141736428.57107049</v>
      </c>
      <c r="R294" s="287">
        <v>145499615.5188328</v>
      </c>
      <c r="S294" s="287">
        <v>154293363.06334749</v>
      </c>
      <c r="T294" s="287">
        <v>174128897.69765741</v>
      </c>
      <c r="U294" s="287">
        <v>190799912.66350859</v>
      </c>
      <c r="V294" s="287">
        <v>200848805.1181677</v>
      </c>
      <c r="W294" s="287">
        <v>202979788.2272785</v>
      </c>
      <c r="X294" s="287">
        <v>194244128.77924451</v>
      </c>
      <c r="Y294" s="287">
        <v>184621843.3115086</v>
      </c>
      <c r="Z294" s="287">
        <v>151329771.34252399</v>
      </c>
      <c r="AA294" s="287">
        <v>157255588.73126349</v>
      </c>
      <c r="AB294" s="287">
        <v>2052051188.981256</v>
      </c>
    </row>
    <row r="295" spans="10:28" ht="15" customHeight="1" x14ac:dyDescent="0.2">
      <c r="J295" s="286" t="str">
        <f xml:space="preserve"> _xll.EPMOlapMemberO("[COSTCENTER].[PARENTH1].[1001]","","1001","","000")</f>
        <v>1001</v>
      </c>
      <c r="K295" s="297" t="str">
        <f xml:space="preserve"> _xll.EPMOlapMemberO("[C_ACCOUNT].[PARENTH1].[ELECTRIC]","","ELECTRIC","","000")</f>
        <v>ELECTRIC</v>
      </c>
      <c r="L295" s="286" t="str">
        <f>_xll.EPMMemberDesc(K295)</f>
        <v>Electric</v>
      </c>
      <c r="M295" s="287">
        <v>0</v>
      </c>
      <c r="N295" s="287">
        <v>0</v>
      </c>
      <c r="O295" s="287">
        <v>0</v>
      </c>
      <c r="P295" s="287">
        <v>154313045.95685261</v>
      </c>
      <c r="Q295" s="287">
        <v>141736428.57107049</v>
      </c>
      <c r="R295" s="287">
        <v>145499615.5188328</v>
      </c>
      <c r="S295" s="287">
        <v>154293363.06334749</v>
      </c>
      <c r="T295" s="287">
        <v>174128897.69765741</v>
      </c>
      <c r="U295" s="287">
        <v>190799912.66350859</v>
      </c>
      <c r="V295" s="287">
        <v>200848805.1181677</v>
      </c>
      <c r="W295" s="287">
        <v>202979788.2272785</v>
      </c>
      <c r="X295" s="287">
        <v>194244128.77924451</v>
      </c>
      <c r="Y295" s="287">
        <v>184621843.3115086</v>
      </c>
      <c r="Z295" s="287">
        <v>151329771.34252399</v>
      </c>
      <c r="AA295" s="287">
        <v>157255588.73126349</v>
      </c>
      <c r="AB295" s="287">
        <v>2052051188.981256</v>
      </c>
    </row>
    <row r="296" spans="10:28" ht="15" customHeight="1" x14ac:dyDescent="0.2">
      <c r="J296" s="286" t="str">
        <f xml:space="preserve"> _xll.EPMOlapMemberO("[COSTCENTER].[PARENTH1].[1001]","","1001","","000")</f>
        <v>1001</v>
      </c>
      <c r="K296" s="298" t="str">
        <f xml:space="preserve"> _xll.EPMOlapMemberO("[C_ACCOUNT].[PARENTH1].[RESIDENTIAL]","","RESIDENTIAL","","000")</f>
        <v>RESIDENTIAL</v>
      </c>
      <c r="L296" s="286" t="str">
        <f>_xll.EPMMemberDesc(K296)</f>
        <v>Residential</v>
      </c>
      <c r="M296" s="287">
        <v>0</v>
      </c>
      <c r="N296" s="287">
        <v>0</v>
      </c>
      <c r="O296" s="287">
        <v>0</v>
      </c>
      <c r="P296" s="287">
        <v>85273338.578376502</v>
      </c>
      <c r="Q296" s="287">
        <v>76572800.795325801</v>
      </c>
      <c r="R296" s="287">
        <v>73437505.806517899</v>
      </c>
      <c r="S296" s="287">
        <v>78110402.718029007</v>
      </c>
      <c r="T296" s="287">
        <v>89868628.378266796</v>
      </c>
      <c r="U296" s="287">
        <v>110219313.8533314</v>
      </c>
      <c r="V296" s="287">
        <v>120218888.3417532</v>
      </c>
      <c r="W296" s="287">
        <v>118839421.0104797</v>
      </c>
      <c r="X296" s="287">
        <v>124547679.1723218</v>
      </c>
      <c r="Y296" s="287">
        <v>110002054.90514439</v>
      </c>
      <c r="Z296" s="287">
        <v>87765141.397020206</v>
      </c>
      <c r="AA296" s="287">
        <v>82441354.727415606</v>
      </c>
      <c r="AB296" s="287">
        <v>1157296529.6839824</v>
      </c>
    </row>
    <row r="297" spans="10:28" ht="15" customHeight="1" x14ac:dyDescent="0.25">
      <c r="J297" s="291" t="str">
        <f xml:space="preserve"> _xll.EPMOlapMemberO("[COSTCENTER].[PARENTH1].[1001]","","1001","","000")</f>
        <v>1001</v>
      </c>
      <c r="K297" s="299" t="str">
        <f xml:space="preserve"> _xll.EPMOlapMemberO("[C_ACCOUNT].[PARENTH1].[A_4400010]","","A_4400010","","000")</f>
        <v>A_4400010</v>
      </c>
      <c r="L297" s="293" t="str">
        <f>_xll.EPMMemberDesc(K297)</f>
        <v>Residential Base Revenue</v>
      </c>
      <c r="M297" s="293">
        <v>0</v>
      </c>
      <c r="N297" s="293">
        <v>0</v>
      </c>
      <c r="O297" s="293">
        <v>0</v>
      </c>
      <c r="P297" s="293">
        <v>50228676.732883401</v>
      </c>
      <c r="Q297" s="293">
        <v>45556010.333883397</v>
      </c>
      <c r="R297" s="293">
        <v>43720040.076883398</v>
      </c>
      <c r="S297" s="293">
        <v>46202756.303883404</v>
      </c>
      <c r="T297" s="293">
        <v>52746826.796751097</v>
      </c>
      <c r="U297" s="293">
        <v>63935621.202886797</v>
      </c>
      <c r="V297" s="293">
        <v>70900239.379022494</v>
      </c>
      <c r="W297" s="293">
        <v>70167234.795158207</v>
      </c>
      <c r="X297" s="293">
        <v>73162033.731293902</v>
      </c>
      <c r="Y297" s="293">
        <v>65321650.407429598</v>
      </c>
      <c r="Z297" s="293">
        <v>53098253.773565397</v>
      </c>
      <c r="AA297" s="293">
        <v>50159753.513565399</v>
      </c>
      <c r="AB297" s="293">
        <v>685199097.04720652</v>
      </c>
    </row>
    <row r="298" spans="10:28" ht="15" customHeight="1" x14ac:dyDescent="0.25">
      <c r="J298" s="291" t="str">
        <f xml:space="preserve"> _xll.EPMOlapMemberO("[COSTCENTER].[PARENTH1].[1001]","","1001","","000")</f>
        <v>1001</v>
      </c>
      <c r="K298" s="299" t="str">
        <f xml:space="preserve"> _xll.EPMOlapMemberO("[C_ACCOUNT].[PARENTH1].[A_4400020]","","A_4400020","","000")</f>
        <v>A_4400020</v>
      </c>
      <c r="L298" s="293" t="str">
        <f>_xll.EPMMemberDesc(K298)</f>
        <v>Residential Sales Fuel Adjustment Revenue</v>
      </c>
      <c r="M298" s="293">
        <v>0</v>
      </c>
      <c r="N298" s="293">
        <v>0</v>
      </c>
      <c r="O298" s="293">
        <v>0</v>
      </c>
      <c r="P298" s="293">
        <v>26458328.988867</v>
      </c>
      <c r="Q298" s="293">
        <v>23302528.722470399</v>
      </c>
      <c r="R298" s="293">
        <v>22429866.978697501</v>
      </c>
      <c r="S298" s="293">
        <v>24151508.517837301</v>
      </c>
      <c r="T298" s="293">
        <v>28130427.2908816</v>
      </c>
      <c r="U298" s="293">
        <v>35102777.821077503</v>
      </c>
      <c r="V298" s="293">
        <v>37399827.061694004</v>
      </c>
      <c r="W298" s="293">
        <v>36905092.096633703</v>
      </c>
      <c r="X298" s="293">
        <v>39013450.746780999</v>
      </c>
      <c r="Y298" s="293">
        <v>33802221.542457499</v>
      </c>
      <c r="Z298" s="293">
        <v>26182002.471881799</v>
      </c>
      <c r="AA298" s="293">
        <v>24394077.1034008</v>
      </c>
      <c r="AB298" s="293">
        <v>357272109.3426801</v>
      </c>
    </row>
    <row r="299" spans="10:28" ht="15" customHeight="1" x14ac:dyDescent="0.25">
      <c r="J299" s="291" t="str">
        <f xml:space="preserve"> _xll.EPMOlapMemberO("[COSTCENTER].[PARENTH1].[1001]","","1001","","000")</f>
        <v>1001</v>
      </c>
      <c r="K299" s="299" t="str">
        <f xml:space="preserve"> _xll.EPMOlapMemberO("[C_ACCOUNT].[PARENTH1].[A_4400030]","","A_4400030","","000")</f>
        <v>A_4400030</v>
      </c>
      <c r="L299" s="293" t="str">
        <f>_xll.EPMMemberDesc(K299)</f>
        <v>Residential Capacity Revenue</v>
      </c>
      <c r="M299" s="293">
        <v>0</v>
      </c>
      <c r="N299" s="293">
        <v>0</v>
      </c>
      <c r="O299" s="293">
        <v>0</v>
      </c>
      <c r="P299" s="293">
        <v>14341.33</v>
      </c>
      <c r="Q299" s="293">
        <v>12730.24</v>
      </c>
      <c r="R299" s="293">
        <v>12096.18</v>
      </c>
      <c r="S299" s="293">
        <v>12929.65</v>
      </c>
      <c r="T299" s="293">
        <v>15125.31</v>
      </c>
      <c r="U299" s="293">
        <v>18884.21</v>
      </c>
      <c r="V299" s="293">
        <v>20063.349999999999</v>
      </c>
      <c r="W299" s="293">
        <v>19838.63</v>
      </c>
      <c r="X299" s="293">
        <v>20817.330000000002</v>
      </c>
      <c r="Y299" s="293">
        <v>18252.77</v>
      </c>
      <c r="Z299" s="293">
        <v>14109.42</v>
      </c>
      <c r="AA299" s="293">
        <v>13120.29</v>
      </c>
      <c r="AB299" s="293">
        <v>192308.71</v>
      </c>
    </row>
    <row r="300" spans="10:28" ht="15" customHeight="1" x14ac:dyDescent="0.25">
      <c r="J300" s="291" t="str">
        <f xml:space="preserve"> _xll.EPMOlapMemberO("[COSTCENTER].[PARENTH1].[1001]","","1001","","000")</f>
        <v>1001</v>
      </c>
      <c r="K300" s="299" t="str">
        <f xml:space="preserve"> _xll.EPMOlapMemberO("[C_ACCOUNT].[PARENTH1].[A_4400040]","","A_4400040","","000")</f>
        <v>A_4400040</v>
      </c>
      <c r="L300" s="293" t="str">
        <f>_xll.EPMMemberDesc(K300)</f>
        <v>Residential Conservation Revenue</v>
      </c>
      <c r="M300" s="293">
        <v>0</v>
      </c>
      <c r="N300" s="293">
        <v>0</v>
      </c>
      <c r="O300" s="293">
        <v>0</v>
      </c>
      <c r="P300" s="293">
        <v>1191035.93</v>
      </c>
      <c r="Q300" s="293">
        <v>1057193.97</v>
      </c>
      <c r="R300" s="293">
        <v>1004610.67</v>
      </c>
      <c r="S300" s="293">
        <v>1073769.47</v>
      </c>
      <c r="T300" s="293">
        <v>1256005.19</v>
      </c>
      <c r="U300" s="293">
        <v>1567984.34</v>
      </c>
      <c r="V300" s="293">
        <v>1665699.24</v>
      </c>
      <c r="W300" s="293">
        <v>1647145.15</v>
      </c>
      <c r="X300" s="293">
        <v>1728232.91</v>
      </c>
      <c r="Y300" s="293">
        <v>1515503.82</v>
      </c>
      <c r="Z300" s="293">
        <v>1171495.47</v>
      </c>
      <c r="AA300" s="293">
        <v>1089592.3400000001</v>
      </c>
      <c r="AB300" s="293">
        <v>15968268.5</v>
      </c>
    </row>
    <row r="301" spans="10:28" ht="15" customHeight="1" x14ac:dyDescent="0.25">
      <c r="J301" s="291" t="str">
        <f xml:space="preserve"> _xll.EPMOlapMemberO("[COSTCENTER].[PARENTH1].[1001]","","1001","","000")</f>
        <v>1001</v>
      </c>
      <c r="K301" s="299" t="str">
        <f xml:space="preserve"> _xll.EPMOlapMemberO("[C_ACCOUNT].[PARENTH1].[A_4400050]","","A_4400050","","000")</f>
        <v>A_4400050</v>
      </c>
      <c r="L301" s="293" t="str">
        <f>_xll.EPMMemberDesc(K301)</f>
        <v>Residential Environmental Revenue</v>
      </c>
      <c r="M301" s="293">
        <v>0</v>
      </c>
      <c r="N301" s="293">
        <v>0</v>
      </c>
      <c r="O301" s="293">
        <v>0</v>
      </c>
      <c r="P301" s="293">
        <v>1931283.97</v>
      </c>
      <c r="Q301" s="293">
        <v>1714302.27</v>
      </c>
      <c r="R301" s="293">
        <v>1629077.16</v>
      </c>
      <c r="S301" s="293">
        <v>1741136.69</v>
      </c>
      <c r="T301" s="293">
        <v>2036404.37</v>
      </c>
      <c r="U301" s="293">
        <v>2541940.33</v>
      </c>
      <c r="V301" s="293">
        <v>2700257.73</v>
      </c>
      <c r="W301" s="293">
        <v>2670157.56</v>
      </c>
      <c r="X301" s="293">
        <v>2801583.15</v>
      </c>
      <c r="Y301" s="293">
        <v>2456831.04</v>
      </c>
      <c r="Z301" s="293">
        <v>1899389.61</v>
      </c>
      <c r="AA301" s="293">
        <v>1766706.7</v>
      </c>
      <c r="AB301" s="293">
        <v>25889070.579999998</v>
      </c>
    </row>
    <row r="302" spans="10:28" ht="15" customHeight="1" x14ac:dyDescent="0.25">
      <c r="J302" s="291" t="str">
        <f xml:space="preserve"> _xll.EPMOlapMemberO("[COSTCENTER].[PARENTH1].[1001]","","1001","","000")</f>
        <v>1001</v>
      </c>
      <c r="K302" s="299" t="str">
        <f xml:space="preserve"> _xll.EPMOlapMemberO("[C_ACCOUNT].[PARENTH1].[A_4400060]","","A_4400060","","000")</f>
        <v>A_4400060</v>
      </c>
      <c r="L302" s="293" t="str">
        <f>_xll.EPMMemberDesc(K302)</f>
        <v>Residential Franchise Revenue</v>
      </c>
      <c r="M302" s="293">
        <v>0</v>
      </c>
      <c r="N302" s="293">
        <v>0</v>
      </c>
      <c r="O302" s="293">
        <v>0</v>
      </c>
      <c r="P302" s="293">
        <v>1649929.5832648</v>
      </c>
      <c r="Q302" s="293">
        <v>1537809.4853047</v>
      </c>
      <c r="R302" s="293">
        <v>1400361.2847597001</v>
      </c>
      <c r="S302" s="293">
        <v>1472316.7311639001</v>
      </c>
      <c r="T302" s="293">
        <v>1676682.1647123001</v>
      </c>
      <c r="U302" s="293">
        <v>2097422.6141797998</v>
      </c>
      <c r="V302" s="293">
        <v>2276936.7240883</v>
      </c>
      <c r="W302" s="293">
        <v>2234307.8921075999</v>
      </c>
      <c r="X302" s="293">
        <v>2369802.1642565001</v>
      </c>
      <c r="Y302" s="293">
        <v>2099085.7307165</v>
      </c>
      <c r="Z302" s="293">
        <v>1651512.0691825</v>
      </c>
      <c r="AA302" s="293">
        <v>1517418.3165831999</v>
      </c>
      <c r="AB302" s="293">
        <v>21983584.760319799</v>
      </c>
    </row>
    <row r="303" spans="10:28" ht="15" customHeight="1" x14ac:dyDescent="0.25">
      <c r="J303" s="291" t="str">
        <f xml:space="preserve"> _xll.EPMOlapMemberO("[COSTCENTER].[PARENTH1].[1001]","","1001","","000")</f>
        <v>1001</v>
      </c>
      <c r="K303" s="299" t="str">
        <f xml:space="preserve"> _xll.EPMOlapMemberO("[C_ACCOUNT].[PARENTH1].[A_4400070]","","A_4400070","","000")</f>
        <v>A_4400070</v>
      </c>
      <c r="L303" s="293" t="str">
        <f>_xll.EPMMemberDesc(K303)</f>
        <v>Residential Gross Receipts Tax Revenue</v>
      </c>
      <c r="M303" s="293">
        <v>0</v>
      </c>
      <c r="N303" s="293">
        <v>0</v>
      </c>
      <c r="O303" s="293">
        <v>0</v>
      </c>
      <c r="P303" s="293">
        <v>2083710.7633613001</v>
      </c>
      <c r="Q303" s="293">
        <v>1868924.4336673</v>
      </c>
      <c r="R303" s="293">
        <v>1793880.9061773</v>
      </c>
      <c r="S303" s="293">
        <v>1908870.4251444</v>
      </c>
      <c r="T303" s="293">
        <v>2197707.5759218</v>
      </c>
      <c r="U303" s="293">
        <v>2696107.9251873</v>
      </c>
      <c r="V303" s="293">
        <v>2856632.8669484002</v>
      </c>
      <c r="W303" s="293">
        <v>2823138.0265802001</v>
      </c>
      <c r="X303" s="293">
        <v>2962511.2899904</v>
      </c>
      <c r="Y303" s="293">
        <v>2605532.9945407999</v>
      </c>
      <c r="Z303" s="293">
        <v>2060665.8723905</v>
      </c>
      <c r="AA303" s="293">
        <v>1930883.1738662</v>
      </c>
      <c r="AB303" s="293">
        <v>27788566.253775898</v>
      </c>
    </row>
    <row r="304" spans="10:28" ht="15" customHeight="1" x14ac:dyDescent="0.25">
      <c r="J304" s="291" t="str">
        <f xml:space="preserve"> _xll.EPMOlapMemberO("[COSTCENTER].[PARENTH1].[1001]","","1001","","000")</f>
        <v>1001</v>
      </c>
      <c r="K304" s="299" t="str">
        <f xml:space="preserve"> _xll.EPMOlapMemberO("[C_ACCOUNT].[PARENTH1].[A_4400090]","","A_4400090","","000")</f>
        <v>A_4400090</v>
      </c>
      <c r="L304" s="293" t="str">
        <f>_xll.EPMMemberDesc(K304)</f>
        <v>Residential Storm Revenue</v>
      </c>
      <c r="M304" s="293">
        <v>0</v>
      </c>
      <c r="N304" s="293">
        <v>0</v>
      </c>
      <c r="O304" s="293">
        <v>0</v>
      </c>
      <c r="P304" s="293">
        <v>1716031.28</v>
      </c>
      <c r="Q304" s="293">
        <v>1523301.34</v>
      </c>
      <c r="R304" s="293">
        <v>1447572.55</v>
      </c>
      <c r="S304" s="293">
        <v>1547114.93</v>
      </c>
      <c r="T304" s="293">
        <v>1809449.68</v>
      </c>
      <c r="U304" s="293">
        <v>2258575.41</v>
      </c>
      <c r="V304" s="293">
        <v>2399231.9900000002</v>
      </c>
      <c r="W304" s="293">
        <v>2372506.86</v>
      </c>
      <c r="X304" s="293">
        <v>2489247.85</v>
      </c>
      <c r="Y304" s="293">
        <v>2182976.6</v>
      </c>
      <c r="Z304" s="293">
        <v>1687712.71</v>
      </c>
      <c r="AA304" s="293">
        <v>1569803.29</v>
      </c>
      <c r="AB304" s="293">
        <v>23003524.489999998</v>
      </c>
    </row>
    <row r="305" spans="10:28" ht="15" customHeight="1" x14ac:dyDescent="0.2">
      <c r="J305" s="286" t="str">
        <f xml:space="preserve"> _xll.EPMOlapMemberO("[COSTCENTER].[PARENTH1].[1001]","","1001","","000")</f>
        <v>1001</v>
      </c>
      <c r="K305" s="298" t="str">
        <f xml:space="preserve"> _xll.EPMOlapMemberO("[C_ACCOUNT].[PARENTH1].[COMMERCIAL]","","COMMERCIAL","","000")</f>
        <v>COMMERCIAL</v>
      </c>
      <c r="L305" s="286" t="str">
        <f>_xll.EPMMemberDesc(K305)</f>
        <v>Commercial</v>
      </c>
      <c r="M305" s="287">
        <v>0</v>
      </c>
      <c r="N305" s="287">
        <v>0</v>
      </c>
      <c r="O305" s="287">
        <v>0</v>
      </c>
      <c r="P305" s="287">
        <v>41122002.214923099</v>
      </c>
      <c r="Q305" s="287">
        <v>39968845.066526897</v>
      </c>
      <c r="R305" s="287">
        <v>40305463.084360898</v>
      </c>
      <c r="S305" s="287">
        <v>42026206.301245801</v>
      </c>
      <c r="T305" s="287">
        <v>44653724.091191098</v>
      </c>
      <c r="U305" s="287">
        <v>48696877.770168103</v>
      </c>
      <c r="V305" s="287">
        <v>50146327.777212001</v>
      </c>
      <c r="W305" s="287">
        <v>50037408.714616001</v>
      </c>
      <c r="X305" s="287">
        <v>51361352.467075497</v>
      </c>
      <c r="Y305" s="287">
        <v>48596955.868052199</v>
      </c>
      <c r="Z305" s="287">
        <v>44157349.986575499</v>
      </c>
      <c r="AA305" s="287">
        <v>42537797.502514601</v>
      </c>
      <c r="AB305" s="287">
        <v>543610310.84446168</v>
      </c>
    </row>
    <row r="306" spans="10:28" ht="15" customHeight="1" x14ac:dyDescent="0.2">
      <c r="J306" s="286" t="str">
        <f xml:space="preserve"> _xll.EPMOlapMemberO("[COSTCENTER].[PARENTH1].[1001]","","1001","","000")</f>
        <v>1001</v>
      </c>
      <c r="K306" s="300" t="str">
        <f xml:space="preserve"> _xll.EPMOlapMemberO("[C_ACCOUNT].[PARENTH1].[SMALL_COMMERCIAL]","","SMALL_COMMERCIAL","","000")</f>
        <v>SMALL_COMMERCIAL</v>
      </c>
      <c r="L306" s="286" t="str">
        <f>_xll.EPMMemberDesc(K306)</f>
        <v>Small Commercial</v>
      </c>
      <c r="M306" s="287">
        <v>0</v>
      </c>
      <c r="N306" s="287">
        <v>0</v>
      </c>
      <c r="O306" s="287">
        <v>0</v>
      </c>
      <c r="P306" s="287">
        <v>41122002.214923099</v>
      </c>
      <c r="Q306" s="287">
        <v>39968845.066526897</v>
      </c>
      <c r="R306" s="287">
        <v>40305463.084360898</v>
      </c>
      <c r="S306" s="287">
        <v>42026206.301245801</v>
      </c>
      <c r="T306" s="287">
        <v>44653724.091191098</v>
      </c>
      <c r="U306" s="287">
        <v>48696877.770168103</v>
      </c>
      <c r="V306" s="287">
        <v>50146327.777212001</v>
      </c>
      <c r="W306" s="287">
        <v>50037408.714616001</v>
      </c>
      <c r="X306" s="287">
        <v>51361352.467075497</v>
      </c>
      <c r="Y306" s="287">
        <v>48596955.868052199</v>
      </c>
      <c r="Z306" s="287">
        <v>44157349.986575499</v>
      </c>
      <c r="AA306" s="287">
        <v>42537797.502514601</v>
      </c>
      <c r="AB306" s="287">
        <v>543610310.84446168</v>
      </c>
    </row>
    <row r="307" spans="10:28" ht="15" customHeight="1" x14ac:dyDescent="0.25">
      <c r="J307" s="291" t="str">
        <f xml:space="preserve"> _xll.EPMOlapMemberO("[COSTCENTER].[PARENTH1].[1001]","","1001","","000")</f>
        <v>1001</v>
      </c>
      <c r="K307" s="301" t="str">
        <f xml:space="preserve"> _xll.EPMOlapMemberO("[C_ACCOUNT].[PARENTH1].[A_4420010]","","A_4420010","","000")</f>
        <v>A_4420010</v>
      </c>
      <c r="L307" s="293" t="str">
        <f>_xll.EPMMemberDesc(K307)</f>
        <v>Commercial Small Base Revenue</v>
      </c>
      <c r="M307" s="293">
        <v>0</v>
      </c>
      <c r="N307" s="293">
        <v>0</v>
      </c>
      <c r="O307" s="293">
        <v>0</v>
      </c>
      <c r="P307" s="293">
        <v>23612691.035161</v>
      </c>
      <c r="Q307" s="293">
        <v>23218483.4465435</v>
      </c>
      <c r="R307" s="293">
        <v>23370223.404076502</v>
      </c>
      <c r="S307" s="293">
        <v>24200847.820134498</v>
      </c>
      <c r="T307" s="293">
        <v>25514685.253327001</v>
      </c>
      <c r="U307" s="293">
        <v>27517245.067954998</v>
      </c>
      <c r="V307" s="293">
        <v>28260140.562243</v>
      </c>
      <c r="W307" s="293">
        <v>28216776.2570315</v>
      </c>
      <c r="X307" s="293">
        <v>28853015.1947245</v>
      </c>
      <c r="Y307" s="293">
        <v>27555628.7658085</v>
      </c>
      <c r="Z307" s="293">
        <v>25373289.933737502</v>
      </c>
      <c r="AA307" s="293">
        <v>24527237.744243499</v>
      </c>
      <c r="AB307" s="293">
        <v>310220264.48498601</v>
      </c>
    </row>
    <row r="308" spans="10:28" ht="15" customHeight="1" x14ac:dyDescent="0.25">
      <c r="J308" s="291" t="str">
        <f xml:space="preserve"> _xll.EPMOlapMemberO("[COSTCENTER].[PARENTH1].[1001]","","1001","","000")</f>
        <v>1001</v>
      </c>
      <c r="K308" s="301" t="str">
        <f xml:space="preserve"> _xll.EPMOlapMemberO("[C_ACCOUNT].[PARENTH1].[A_4420020]","","A_4420020","","000")</f>
        <v>A_4420020</v>
      </c>
      <c r="L308" s="293" t="str">
        <f>_xll.EPMMemberDesc(K308)</f>
        <v>Commercial Small Sales Fuel Adjustment Revenue</v>
      </c>
      <c r="M308" s="293">
        <v>0</v>
      </c>
      <c r="N308" s="293">
        <v>0</v>
      </c>
      <c r="O308" s="293">
        <v>0</v>
      </c>
      <c r="P308" s="293">
        <v>12438160.5958525</v>
      </c>
      <c r="Q308" s="293">
        <v>11876575.087236401</v>
      </c>
      <c r="R308" s="293">
        <v>11989719.160688501</v>
      </c>
      <c r="S308" s="293">
        <v>12650478.651589399</v>
      </c>
      <c r="T308" s="293">
        <v>13607245.0601456</v>
      </c>
      <c r="U308" s="293">
        <v>15107880.7352692</v>
      </c>
      <c r="V308" s="293">
        <v>15658083.2822279</v>
      </c>
      <c r="W308" s="293">
        <v>15596613.0637384</v>
      </c>
      <c r="X308" s="293">
        <v>16135648.962460799</v>
      </c>
      <c r="Y308" s="293">
        <v>15042258.4371526</v>
      </c>
      <c r="Z308" s="293">
        <v>13367140.479254499</v>
      </c>
      <c r="AA308" s="293">
        <v>12795604.8462262</v>
      </c>
      <c r="AB308" s="293">
        <v>166265408.36184201</v>
      </c>
    </row>
    <row r="309" spans="10:28" ht="15" customHeight="1" x14ac:dyDescent="0.25">
      <c r="J309" s="291" t="str">
        <f xml:space="preserve"> _xll.EPMOlapMemberO("[COSTCENTER].[PARENTH1].[1001]","","1001","","000")</f>
        <v>1001</v>
      </c>
      <c r="K309" s="301" t="str">
        <f xml:space="preserve"> _xll.EPMOlapMemberO("[C_ACCOUNT].[PARENTH1].[A_4420030]","","A_4420030","","000")</f>
        <v>A_4420030</v>
      </c>
      <c r="L309" s="293" t="str">
        <f>_xll.EPMMemberDesc(K309)</f>
        <v>Commercial Small Capacity Revenue</v>
      </c>
      <c r="M309" s="293">
        <v>0</v>
      </c>
      <c r="N309" s="293">
        <v>0</v>
      </c>
      <c r="O309" s="293">
        <v>0</v>
      </c>
      <c r="P309" s="293">
        <v>10574</v>
      </c>
      <c r="Q309" s="293">
        <v>10614</v>
      </c>
      <c r="R309" s="293">
        <v>10646</v>
      </c>
      <c r="S309" s="293">
        <v>10880</v>
      </c>
      <c r="T309" s="293">
        <v>11424</v>
      </c>
      <c r="U309" s="293">
        <v>12246</v>
      </c>
      <c r="V309" s="293">
        <v>12538</v>
      </c>
      <c r="W309" s="293">
        <v>12540</v>
      </c>
      <c r="X309" s="293">
        <v>12796</v>
      </c>
      <c r="Y309" s="293">
        <v>12330</v>
      </c>
      <c r="Z309" s="293">
        <v>11428</v>
      </c>
      <c r="AA309" s="293">
        <v>11046</v>
      </c>
      <c r="AB309" s="293">
        <v>139062</v>
      </c>
    </row>
    <row r="310" spans="10:28" ht="15" customHeight="1" x14ac:dyDescent="0.25">
      <c r="J310" s="291" t="str">
        <f xml:space="preserve"> _xll.EPMOlapMemberO("[COSTCENTER].[PARENTH1].[1001]","","1001","","000")</f>
        <v>1001</v>
      </c>
      <c r="K310" s="301" t="str">
        <f xml:space="preserve"> _xll.EPMOlapMemberO("[C_ACCOUNT].[PARENTH1].[A_4420040]","","A_4420040","","000")</f>
        <v>A_4420040</v>
      </c>
      <c r="L310" s="293" t="str">
        <f>_xll.EPMMemberDesc(K310)</f>
        <v>Commercial Small Conservation Revenue</v>
      </c>
      <c r="M310" s="293">
        <v>0</v>
      </c>
      <c r="N310" s="293">
        <v>0</v>
      </c>
      <c r="O310" s="293">
        <v>0</v>
      </c>
      <c r="P310" s="293">
        <v>666720</v>
      </c>
      <c r="Q310" s="293">
        <v>667447</v>
      </c>
      <c r="R310" s="293">
        <v>669683</v>
      </c>
      <c r="S310" s="293">
        <v>685173</v>
      </c>
      <c r="T310" s="293">
        <v>719801</v>
      </c>
      <c r="U310" s="293">
        <v>772501</v>
      </c>
      <c r="V310" s="293">
        <v>791444</v>
      </c>
      <c r="W310" s="293">
        <v>791217</v>
      </c>
      <c r="X310" s="293">
        <v>807794</v>
      </c>
      <c r="Y310" s="293">
        <v>777131</v>
      </c>
      <c r="Z310" s="293">
        <v>719452</v>
      </c>
      <c r="AA310" s="293">
        <v>695645</v>
      </c>
      <c r="AB310" s="293">
        <v>8764008</v>
      </c>
    </row>
    <row r="311" spans="10:28" ht="15" customHeight="1" x14ac:dyDescent="0.25">
      <c r="J311" s="291" t="str">
        <f xml:space="preserve"> _xll.EPMOlapMemberO("[COSTCENTER].[PARENTH1].[1001]","","1001","","000")</f>
        <v>1001</v>
      </c>
      <c r="K311" s="301" t="str">
        <f xml:space="preserve"> _xll.EPMOlapMemberO("[C_ACCOUNT].[PARENTH1].[A_4420050]","","A_4420050","","000")</f>
        <v>A_4420050</v>
      </c>
      <c r="L311" s="293" t="str">
        <f>_xll.EPMMemberDesc(K311)</f>
        <v>Commercial Small Environmental Revenue</v>
      </c>
      <c r="M311" s="293">
        <v>0</v>
      </c>
      <c r="N311" s="293">
        <v>0</v>
      </c>
      <c r="O311" s="293">
        <v>0</v>
      </c>
      <c r="P311" s="293">
        <v>1228099</v>
      </c>
      <c r="Q311" s="293">
        <v>1163221</v>
      </c>
      <c r="R311" s="293">
        <v>1177996</v>
      </c>
      <c r="S311" s="293">
        <v>1250257</v>
      </c>
      <c r="T311" s="293">
        <v>1338837</v>
      </c>
      <c r="U311" s="293">
        <v>1493862</v>
      </c>
      <c r="V311" s="293">
        <v>1551113</v>
      </c>
      <c r="W311" s="293">
        <v>1543162</v>
      </c>
      <c r="X311" s="293">
        <v>1598899</v>
      </c>
      <c r="Y311" s="293">
        <v>1482922</v>
      </c>
      <c r="Z311" s="293">
        <v>1320846</v>
      </c>
      <c r="AA311" s="293">
        <v>1271356</v>
      </c>
      <c r="AB311" s="293">
        <v>16420570</v>
      </c>
    </row>
    <row r="312" spans="10:28" ht="15" customHeight="1" x14ac:dyDescent="0.25">
      <c r="J312" s="291" t="str">
        <f xml:space="preserve"> _xll.EPMOlapMemberO("[COSTCENTER].[PARENTH1].[1001]","","1001","","000")</f>
        <v>1001</v>
      </c>
      <c r="K312" s="301" t="str">
        <f xml:space="preserve"> _xll.EPMOlapMemberO("[C_ACCOUNT].[PARENTH1].[A_4420060]","","A_4420060","","000")</f>
        <v>A_4420060</v>
      </c>
      <c r="L312" s="293" t="str">
        <f>_xll.EPMMemberDesc(K312)</f>
        <v>Commercial Small Franchise Revenue</v>
      </c>
      <c r="M312" s="293">
        <v>0</v>
      </c>
      <c r="N312" s="293">
        <v>0</v>
      </c>
      <c r="O312" s="293">
        <v>0</v>
      </c>
      <c r="P312" s="293">
        <v>1388608.4111085001</v>
      </c>
      <c r="Q312" s="293">
        <v>1282806.9891188999</v>
      </c>
      <c r="R312" s="293">
        <v>1327524.7448521</v>
      </c>
      <c r="S312" s="293">
        <v>1407516.7426789</v>
      </c>
      <c r="T312" s="293">
        <v>1534491.6258576999</v>
      </c>
      <c r="U312" s="293">
        <v>1701674.3092926999</v>
      </c>
      <c r="V312" s="293">
        <v>1721782.5053153001</v>
      </c>
      <c r="W312" s="293">
        <v>1729471.2509995</v>
      </c>
      <c r="X312" s="293">
        <v>1751774.2634487001</v>
      </c>
      <c r="Y312" s="293">
        <v>1631598.4566542001</v>
      </c>
      <c r="Z312" s="293">
        <v>1450484.8437355999</v>
      </c>
      <c r="AA312" s="293">
        <v>1391500.0206327999</v>
      </c>
      <c r="AB312" s="293">
        <v>18319234.1636949</v>
      </c>
    </row>
    <row r="313" spans="10:28" ht="15" customHeight="1" x14ac:dyDescent="0.25">
      <c r="J313" s="291" t="str">
        <f xml:space="preserve"> _xll.EPMOlapMemberO("[COSTCENTER].[PARENTH1].[1001]","","1001","","000")</f>
        <v>1001</v>
      </c>
      <c r="K313" s="301" t="str">
        <f xml:space="preserve"> _xll.EPMOlapMemberO("[C_ACCOUNT].[PARENTH1].[A_4420070]","","A_4420070","","000")</f>
        <v>A_4420070</v>
      </c>
      <c r="L313" s="293" t="str">
        <f>_xll.EPMMemberDesc(K313)</f>
        <v>Commercial Small Gross Receipts Tax Revenue</v>
      </c>
      <c r="M313" s="293">
        <v>0</v>
      </c>
      <c r="N313" s="293">
        <v>0</v>
      </c>
      <c r="O313" s="293">
        <v>0</v>
      </c>
      <c r="P313" s="293">
        <v>933981.38280110003</v>
      </c>
      <c r="Q313" s="293">
        <v>907761.13362810004</v>
      </c>
      <c r="R313" s="293">
        <v>914866.79474379995</v>
      </c>
      <c r="S313" s="293">
        <v>955537.88684299996</v>
      </c>
      <c r="T313" s="293">
        <v>1017604.3918608</v>
      </c>
      <c r="U313" s="293">
        <v>1113897.4676512</v>
      </c>
      <c r="V313" s="293">
        <v>1149305.2474258</v>
      </c>
      <c r="W313" s="293">
        <v>1146242.6028466001</v>
      </c>
      <c r="X313" s="293">
        <v>1178473.2964415001</v>
      </c>
      <c r="Y313" s="293">
        <v>1112514.5384368999</v>
      </c>
      <c r="Z313" s="293">
        <v>1006385.1898479</v>
      </c>
      <c r="AA313" s="293">
        <v>967394.66141209996</v>
      </c>
      <c r="AB313" s="293">
        <v>12403964.5939388</v>
      </c>
    </row>
    <row r="314" spans="10:28" ht="15" customHeight="1" x14ac:dyDescent="0.25">
      <c r="J314" s="291" t="str">
        <f xml:space="preserve"> _xll.EPMOlapMemberO("[COSTCENTER].[PARENTH1].[1001]","","1001","","000")</f>
        <v>1001</v>
      </c>
      <c r="K314" s="301" t="str">
        <f xml:space="preserve"> _xll.EPMOlapMemberO("[C_ACCOUNT].[PARENTH1].[A_4420090]","","A_4420090","","000")</f>
        <v>A_4420090</v>
      </c>
      <c r="L314" s="293" t="str">
        <f>_xll.EPMMemberDesc(K314)</f>
        <v>Commercial Small Storm Revenue</v>
      </c>
      <c r="M314" s="293">
        <v>0</v>
      </c>
      <c r="N314" s="293">
        <v>0</v>
      </c>
      <c r="O314" s="293">
        <v>0</v>
      </c>
      <c r="P314" s="293">
        <v>843167.79</v>
      </c>
      <c r="Q314" s="293">
        <v>841936.41</v>
      </c>
      <c r="R314" s="293">
        <v>844803.98</v>
      </c>
      <c r="S314" s="293">
        <v>865515.2</v>
      </c>
      <c r="T314" s="293">
        <v>909635.76</v>
      </c>
      <c r="U314" s="293">
        <v>977571.19</v>
      </c>
      <c r="V314" s="293">
        <v>1001921.18</v>
      </c>
      <c r="W314" s="293">
        <v>1001386.54</v>
      </c>
      <c r="X314" s="293">
        <v>1022951.75</v>
      </c>
      <c r="Y314" s="293">
        <v>982572.67</v>
      </c>
      <c r="Z314" s="293">
        <v>908323.54</v>
      </c>
      <c r="AA314" s="293">
        <v>878013.23</v>
      </c>
      <c r="AB314" s="293">
        <v>11077799.24</v>
      </c>
    </row>
    <row r="315" spans="10:28" ht="15" customHeight="1" x14ac:dyDescent="0.2">
      <c r="J315" s="286" t="str">
        <f xml:space="preserve"> _xll.EPMOlapMemberO("[COSTCENTER].[PARENTH1].[1001]","","1001","","000")</f>
        <v>1001</v>
      </c>
      <c r="K315" s="298" t="str">
        <f xml:space="preserve"> _xll.EPMOlapMemberO("[C_ACCOUNT].[PARENTH1].[INDUSTRIAL]","","INDUSTRIAL","","000")</f>
        <v>INDUSTRIAL</v>
      </c>
      <c r="L315" s="286" t="str">
        <f>_xll.EPMMemberDesc(K315)</f>
        <v>Industrial</v>
      </c>
      <c r="M315" s="287">
        <v>0</v>
      </c>
      <c r="N315" s="287">
        <v>0</v>
      </c>
      <c r="O315" s="287">
        <v>0</v>
      </c>
      <c r="P315" s="287">
        <v>10095977.7046718</v>
      </c>
      <c r="Q315" s="287">
        <v>9741783.4281107001</v>
      </c>
      <c r="R315" s="287">
        <v>10107107.2865628</v>
      </c>
      <c r="S315" s="287">
        <v>10378928.0806851</v>
      </c>
      <c r="T315" s="287">
        <v>10747053.9413475</v>
      </c>
      <c r="U315" s="287">
        <v>10921375.613713801</v>
      </c>
      <c r="V315" s="287">
        <v>11035123.2022343</v>
      </c>
      <c r="W315" s="287">
        <v>10987574.965061801</v>
      </c>
      <c r="X315" s="287">
        <v>10981065.6324866</v>
      </c>
      <c r="Y315" s="287">
        <v>10717654.5793052</v>
      </c>
      <c r="Z315" s="287">
        <v>10303133.0309746</v>
      </c>
      <c r="AA315" s="287">
        <v>10352626.983063299</v>
      </c>
      <c r="AB315" s="287">
        <v>126369404.4482175</v>
      </c>
    </row>
    <row r="316" spans="10:28" ht="15" customHeight="1" x14ac:dyDescent="0.2">
      <c r="J316" s="286" t="str">
        <f xml:space="preserve"> _xll.EPMOlapMemberO("[COSTCENTER].[PARENTH1].[1001]","","1001","","000")</f>
        <v>1001</v>
      </c>
      <c r="K316" s="300" t="str">
        <f xml:space="preserve"> _xll.EPMOlapMemberO("[C_ACCOUNT].[PARENTH1].[INDUSTRIAL-PHOSPHATE]","","INDUSTRIAL-PHOSPHATE","","000")</f>
        <v>INDUSTRIAL-PHOSPHATE</v>
      </c>
      <c r="L316" s="286" t="str">
        <f>_xll.EPMMemberDesc(K316)</f>
        <v>Industrial-Phosphate</v>
      </c>
      <c r="M316" s="287">
        <v>0</v>
      </c>
      <c r="N316" s="287">
        <v>0</v>
      </c>
      <c r="O316" s="287">
        <v>0</v>
      </c>
      <c r="P316" s="287">
        <v>3172596.7411571001</v>
      </c>
      <c r="Q316" s="287">
        <v>2981656.3869980001</v>
      </c>
      <c r="R316" s="287">
        <v>3146188.3894733</v>
      </c>
      <c r="S316" s="287">
        <v>3110790.2818610002</v>
      </c>
      <c r="T316" s="287">
        <v>3185676.3224024</v>
      </c>
      <c r="U316" s="287">
        <v>3160985.8721761</v>
      </c>
      <c r="V316" s="287">
        <v>3225800.8376759999</v>
      </c>
      <c r="W316" s="287">
        <v>3223263.9612719002</v>
      </c>
      <c r="X316" s="287">
        <v>3180432.4905134002</v>
      </c>
      <c r="Y316" s="287">
        <v>3210032.7053442001</v>
      </c>
      <c r="Z316" s="287">
        <v>3118673.0441739</v>
      </c>
      <c r="AA316" s="287">
        <v>3162833.7613202999</v>
      </c>
      <c r="AB316" s="287">
        <v>37878930.794367597</v>
      </c>
    </row>
    <row r="317" spans="10:28" ht="15" customHeight="1" x14ac:dyDescent="0.2">
      <c r="J317" s="286" t="str">
        <f xml:space="preserve"> _xll.EPMOlapMemberO("[COSTCENTER].[PARENTH1].[1001]","","1001","","000")</f>
        <v>1001</v>
      </c>
      <c r="K317" s="302" t="str">
        <f xml:space="preserve"> _xll.EPMOlapMemberO("[C_ACCOUNT].[PARENTH1].[SMALL_PHOSPHATE]","","SMALL_PHOSPHATE","","000")</f>
        <v>SMALL_PHOSPHATE</v>
      </c>
      <c r="L317" s="286" t="str">
        <f>_xll.EPMMemberDesc(K317)</f>
        <v>Small Phosphate</v>
      </c>
      <c r="M317" s="287">
        <v>0</v>
      </c>
      <c r="N317" s="287">
        <v>0</v>
      </c>
      <c r="O317" s="287">
        <v>0</v>
      </c>
      <c r="P317" s="287">
        <v>3172596.7411571001</v>
      </c>
      <c r="Q317" s="287">
        <v>2981656.3869980001</v>
      </c>
      <c r="R317" s="287">
        <v>3146188.3894733</v>
      </c>
      <c r="S317" s="287">
        <v>3110790.2818610002</v>
      </c>
      <c r="T317" s="287">
        <v>3185676.3224024</v>
      </c>
      <c r="U317" s="287">
        <v>3160985.8721761</v>
      </c>
      <c r="V317" s="287">
        <v>3225800.8376759999</v>
      </c>
      <c r="W317" s="287">
        <v>3223263.9612719002</v>
      </c>
      <c r="X317" s="287">
        <v>3180432.4905134002</v>
      </c>
      <c r="Y317" s="287">
        <v>3210032.7053442001</v>
      </c>
      <c r="Z317" s="287">
        <v>3118673.0441739</v>
      </c>
      <c r="AA317" s="287">
        <v>3162833.7613202999</v>
      </c>
      <c r="AB317" s="287">
        <v>37878930.794367597</v>
      </c>
    </row>
    <row r="318" spans="10:28" ht="15" customHeight="1" x14ac:dyDescent="0.25">
      <c r="J318" s="291" t="str">
        <f xml:space="preserve"> _xll.EPMOlapMemberO("[COSTCENTER].[PARENTH1].[1001]","","1001","","000")</f>
        <v>1001</v>
      </c>
      <c r="K318" s="303" t="str">
        <f xml:space="preserve"> _xll.EPMOlapMemberO("[C_ACCOUNT].[PARENTH1].[A_4420210]","","A_4420210","","000")</f>
        <v>A_4420210</v>
      </c>
      <c r="L318" s="293" t="str">
        <f>_xll.EPMMemberDesc(K318)</f>
        <v>Industrial-Phosphate Small Base Revenue</v>
      </c>
      <c r="M318" s="293">
        <v>0</v>
      </c>
      <c r="N318" s="293">
        <v>0</v>
      </c>
      <c r="O318" s="293">
        <v>0</v>
      </c>
      <c r="P318" s="293">
        <v>1891987</v>
      </c>
      <c r="Q318" s="293">
        <v>1796952</v>
      </c>
      <c r="R318" s="293">
        <v>1892134</v>
      </c>
      <c r="S318" s="293">
        <v>1860418</v>
      </c>
      <c r="T318" s="293">
        <v>1892226</v>
      </c>
      <c r="U318" s="293">
        <v>1860424</v>
      </c>
      <c r="V318" s="293">
        <v>1892127</v>
      </c>
      <c r="W318" s="293">
        <v>1892153</v>
      </c>
      <c r="X318" s="293">
        <v>1860416</v>
      </c>
      <c r="Y318" s="293">
        <v>1892203</v>
      </c>
      <c r="Z318" s="293">
        <v>1860481</v>
      </c>
      <c r="AA318" s="293">
        <v>1892054</v>
      </c>
      <c r="AB318" s="293">
        <v>22483575</v>
      </c>
    </row>
    <row r="319" spans="10:28" ht="15" customHeight="1" x14ac:dyDescent="0.25">
      <c r="J319" s="291" t="str">
        <f xml:space="preserve"> _xll.EPMOlapMemberO("[COSTCENTER].[PARENTH1].[1001]","","1001","","000")</f>
        <v>1001</v>
      </c>
      <c r="K319" s="303" t="str">
        <f xml:space="preserve"> _xll.EPMOlapMemberO("[C_ACCOUNT].[PARENTH1].[A_4420220]","","A_4420220","","000")</f>
        <v>A_4420220</v>
      </c>
      <c r="L319" s="293" t="str">
        <f>_xll.EPMMemberDesc(K319)</f>
        <v>Industrial-Phosphate Small Sales Fuel Adjustment</v>
      </c>
      <c r="M319" s="293">
        <v>0</v>
      </c>
      <c r="N319" s="293">
        <v>0</v>
      </c>
      <c r="O319" s="293">
        <v>0</v>
      </c>
      <c r="P319" s="293">
        <v>996618.22179530002</v>
      </c>
      <c r="Q319" s="293">
        <v>919165.77606349997</v>
      </c>
      <c r="R319" s="293">
        <v>970729.07186809997</v>
      </c>
      <c r="S319" s="293">
        <v>972493.95421810006</v>
      </c>
      <c r="T319" s="293">
        <v>1009143.6612106001</v>
      </c>
      <c r="U319" s="293">
        <v>1021434.516414</v>
      </c>
      <c r="V319" s="293">
        <v>1048369.9499406</v>
      </c>
      <c r="W319" s="293">
        <v>1045873.4877992</v>
      </c>
      <c r="X319" s="293">
        <v>1040411.8702171</v>
      </c>
      <c r="Y319" s="293">
        <v>1032928.944698</v>
      </c>
      <c r="Z319" s="293">
        <v>980137.41816420003</v>
      </c>
      <c r="AA319" s="293">
        <v>987064.8943093</v>
      </c>
      <c r="AB319" s="293">
        <v>12024371.766697999</v>
      </c>
    </row>
    <row r="320" spans="10:28" ht="15" customHeight="1" x14ac:dyDescent="0.25">
      <c r="J320" s="291" t="str">
        <f xml:space="preserve"> _xll.EPMOlapMemberO("[COSTCENTER].[PARENTH1].[1001]","","1001","","000")</f>
        <v>1001</v>
      </c>
      <c r="K320" s="303" t="str">
        <f xml:space="preserve"> _xll.EPMOlapMemberO("[C_ACCOUNT].[PARENTH1].[A_4420230]","","A_4420230","","000")</f>
        <v>A_4420230</v>
      </c>
      <c r="L320" s="293" t="str">
        <f>_xll.EPMMemberDesc(K320)</f>
        <v>Industrial-Phosphate Small Capacity Revenue</v>
      </c>
      <c r="M320" s="293">
        <v>0</v>
      </c>
      <c r="N320" s="293">
        <v>0</v>
      </c>
      <c r="O320" s="293">
        <v>0</v>
      </c>
      <c r="P320" s="293">
        <v>3</v>
      </c>
      <c r="Q320" s="293">
        <v>3</v>
      </c>
      <c r="R320" s="293">
        <v>3</v>
      </c>
      <c r="S320" s="293">
        <v>3</v>
      </c>
      <c r="T320" s="293">
        <v>3</v>
      </c>
      <c r="U320" s="293">
        <v>3</v>
      </c>
      <c r="V320" s="293">
        <v>3</v>
      </c>
      <c r="W320" s="293">
        <v>3</v>
      </c>
      <c r="X320" s="293">
        <v>3</v>
      </c>
      <c r="Y320" s="293">
        <v>3</v>
      </c>
      <c r="Z320" s="293">
        <v>3</v>
      </c>
      <c r="AA320" s="293">
        <v>3</v>
      </c>
      <c r="AB320" s="293">
        <v>36</v>
      </c>
    </row>
    <row r="321" spans="10:28" ht="15" customHeight="1" x14ac:dyDescent="0.25">
      <c r="J321" s="291" t="str">
        <f xml:space="preserve"> _xll.EPMOlapMemberO("[COSTCENTER].[PARENTH1].[1001]","","1001","","000")</f>
        <v>1001</v>
      </c>
      <c r="K321" s="303" t="str">
        <f xml:space="preserve"> _xll.EPMOlapMemberO("[C_ACCOUNT].[PARENTH1].[A_4420240]","","A_4420240","","000")</f>
        <v>A_4420240</v>
      </c>
      <c r="L321" s="293" t="str">
        <f>_xll.EPMMemberDesc(K321)</f>
        <v>Industrial-Phosphate Small Conservation Revenue</v>
      </c>
      <c r="M321" s="293">
        <v>0</v>
      </c>
      <c r="N321" s="293">
        <v>0</v>
      </c>
      <c r="O321" s="293">
        <v>0</v>
      </c>
      <c r="P321" s="293">
        <v>54107</v>
      </c>
      <c r="Q321" s="293">
        <v>54107</v>
      </c>
      <c r="R321" s="293">
        <v>54107</v>
      </c>
      <c r="S321" s="293">
        <v>54107</v>
      </c>
      <c r="T321" s="293">
        <v>54107</v>
      </c>
      <c r="U321" s="293">
        <v>54107</v>
      </c>
      <c r="V321" s="293">
        <v>54107</v>
      </c>
      <c r="W321" s="293">
        <v>54107</v>
      </c>
      <c r="X321" s="293">
        <v>54107</v>
      </c>
      <c r="Y321" s="293">
        <v>54107</v>
      </c>
      <c r="Z321" s="293">
        <v>54107</v>
      </c>
      <c r="AA321" s="293">
        <v>54107</v>
      </c>
      <c r="AB321" s="293">
        <v>649284</v>
      </c>
    </row>
    <row r="322" spans="10:28" ht="15" customHeight="1" x14ac:dyDescent="0.25">
      <c r="J322" s="291" t="str">
        <f xml:space="preserve"> _xll.EPMOlapMemberO("[COSTCENTER].[PARENTH1].[1001]","","1001","","000")</f>
        <v>1001</v>
      </c>
      <c r="K322" s="303" t="str">
        <f xml:space="preserve"> _xll.EPMOlapMemberO("[C_ACCOUNT].[PARENTH1].[A_4420250]","","A_4420250","","000")</f>
        <v>A_4420250</v>
      </c>
      <c r="L322" s="293" t="str">
        <f>_xll.EPMMemberDesc(K322)</f>
        <v>Industrial-Phosphate Small Environmental Revenue</v>
      </c>
      <c r="M322" s="293">
        <v>0</v>
      </c>
      <c r="N322" s="293">
        <v>0</v>
      </c>
      <c r="O322" s="293">
        <v>0</v>
      </c>
      <c r="P322" s="293">
        <v>141318</v>
      </c>
      <c r="Q322" s="293">
        <v>127642</v>
      </c>
      <c r="R322" s="293">
        <v>141318</v>
      </c>
      <c r="S322" s="293">
        <v>136759</v>
      </c>
      <c r="T322" s="293">
        <v>141318</v>
      </c>
      <c r="U322" s="293">
        <v>136759</v>
      </c>
      <c r="V322" s="293">
        <v>141318</v>
      </c>
      <c r="W322" s="293">
        <v>141318</v>
      </c>
      <c r="X322" s="293">
        <v>136759</v>
      </c>
      <c r="Y322" s="293">
        <v>141318</v>
      </c>
      <c r="Z322" s="293">
        <v>136759</v>
      </c>
      <c r="AA322" s="293">
        <v>141318</v>
      </c>
      <c r="AB322" s="293">
        <v>1663904</v>
      </c>
    </row>
    <row r="323" spans="10:28" ht="15" customHeight="1" x14ac:dyDescent="0.25">
      <c r="J323" s="291" t="str">
        <f xml:space="preserve"> _xll.EPMOlapMemberO("[COSTCENTER].[PARENTH1].[1001]","","1001","","000")</f>
        <v>1001</v>
      </c>
      <c r="K323" s="303" t="str">
        <f xml:space="preserve"> _xll.EPMOlapMemberO("[C_ACCOUNT].[PARENTH1].[A_4420270]","","A_4420270","","000")</f>
        <v>A_4420270</v>
      </c>
      <c r="L323" s="293" t="str">
        <f>_xll.EPMMemberDesc(K323)</f>
        <v>Industrial-Phosphate Small Gross Receipts Tax Rev</v>
      </c>
      <c r="M323" s="293">
        <v>0</v>
      </c>
      <c r="N323" s="293">
        <v>0</v>
      </c>
      <c r="O323" s="293">
        <v>0</v>
      </c>
      <c r="P323" s="293">
        <v>68818.959361800007</v>
      </c>
      <c r="Q323" s="293">
        <v>64042.130934499997</v>
      </c>
      <c r="R323" s="293">
        <v>68152.877605200003</v>
      </c>
      <c r="S323" s="293">
        <v>67264.927642900002</v>
      </c>
      <c r="T323" s="293">
        <v>69134.321191800002</v>
      </c>
      <c r="U323" s="293">
        <v>68514.075762099994</v>
      </c>
      <c r="V323" s="293">
        <v>70131.627735400005</v>
      </c>
      <c r="W323" s="293">
        <v>70065.233472699998</v>
      </c>
      <c r="X323" s="293">
        <v>68991.400296299995</v>
      </c>
      <c r="Y323" s="293">
        <v>69728.550646200005</v>
      </c>
      <c r="Z323" s="293">
        <v>67441.436009700003</v>
      </c>
      <c r="AA323" s="293">
        <v>68542.667010999998</v>
      </c>
      <c r="AB323" s="293">
        <v>820828.20766960003</v>
      </c>
    </row>
    <row r="324" spans="10:28" ht="15" customHeight="1" x14ac:dyDescent="0.25">
      <c r="J324" s="291" t="str">
        <f xml:space="preserve"> _xll.EPMOlapMemberO("[COSTCENTER].[PARENTH1].[1001]","","1001","","000")</f>
        <v>1001</v>
      </c>
      <c r="K324" s="303" t="str">
        <f xml:space="preserve"> _xll.EPMOlapMemberO("[C_ACCOUNT].[PARENTH1].[A_4420290]","","A_4420290","","000")</f>
        <v>A_4420290</v>
      </c>
      <c r="L324" s="293" t="str">
        <f>_xll.EPMMemberDesc(K324)</f>
        <v>Industrial-Phosphate Small Storm Revenue</v>
      </c>
      <c r="M324" s="293">
        <v>0</v>
      </c>
      <c r="N324" s="293">
        <v>0</v>
      </c>
      <c r="O324" s="293">
        <v>0</v>
      </c>
      <c r="P324" s="293">
        <v>19744.560000000001</v>
      </c>
      <c r="Q324" s="293">
        <v>19744.48</v>
      </c>
      <c r="R324" s="293">
        <v>19744.439999999999</v>
      </c>
      <c r="S324" s="293">
        <v>19744.400000000001</v>
      </c>
      <c r="T324" s="293">
        <v>19744.34</v>
      </c>
      <c r="U324" s="293">
        <v>19744.28</v>
      </c>
      <c r="V324" s="293">
        <v>19744.259999999998</v>
      </c>
      <c r="W324" s="293">
        <v>19744.240000000002</v>
      </c>
      <c r="X324" s="293">
        <v>19744.22</v>
      </c>
      <c r="Y324" s="293">
        <v>19744.21</v>
      </c>
      <c r="Z324" s="293">
        <v>19744.189999999999</v>
      </c>
      <c r="AA324" s="293">
        <v>19744.2</v>
      </c>
      <c r="AB324" s="293">
        <v>236931.82</v>
      </c>
    </row>
    <row r="325" spans="10:28" ht="15" customHeight="1" x14ac:dyDescent="0.2">
      <c r="J325" s="286" t="str">
        <f xml:space="preserve"> _xll.EPMOlapMemberO("[COSTCENTER].[PARENTH1].[1001]","","1001","","000")</f>
        <v>1001</v>
      </c>
      <c r="K325" s="300" t="str">
        <f xml:space="preserve"> _xll.EPMOlapMemberO("[C_ACCOUNT].[PARENTH1].[INDUSTRIAL-OTHER]","","INDUSTRIAL-OTHER","","000")</f>
        <v>INDUSTRIAL-OTHER</v>
      </c>
      <c r="L325" s="286" t="str">
        <f>_xll.EPMMemberDesc(K325)</f>
        <v>Industrial-Other</v>
      </c>
      <c r="M325" s="287">
        <v>0</v>
      </c>
      <c r="N325" s="287">
        <v>0</v>
      </c>
      <c r="O325" s="287">
        <v>0</v>
      </c>
      <c r="P325" s="287">
        <v>6923380.9635146996</v>
      </c>
      <c r="Q325" s="287">
        <v>6760127.0411126995</v>
      </c>
      <c r="R325" s="287">
        <v>6960918.8970895</v>
      </c>
      <c r="S325" s="287">
        <v>7268137.7988240998</v>
      </c>
      <c r="T325" s="287">
        <v>7561377.6189451003</v>
      </c>
      <c r="U325" s="287">
        <v>7760389.7415377004</v>
      </c>
      <c r="V325" s="287">
        <v>7809322.3645583</v>
      </c>
      <c r="W325" s="287">
        <v>7764311.0037898999</v>
      </c>
      <c r="X325" s="287">
        <v>7800633.1419732003</v>
      </c>
      <c r="Y325" s="287">
        <v>7507621.8739609998</v>
      </c>
      <c r="Z325" s="287">
        <v>7184459.9868007004</v>
      </c>
      <c r="AA325" s="287">
        <v>7189793.2217429997</v>
      </c>
      <c r="AB325" s="287">
        <v>88490473.6538499</v>
      </c>
    </row>
    <row r="326" spans="10:28" ht="15" customHeight="1" x14ac:dyDescent="0.2">
      <c r="J326" s="286" t="str">
        <f xml:space="preserve"> _xll.EPMOlapMemberO("[COSTCENTER].[PARENTH1].[1001]","","1001","","000")</f>
        <v>1001</v>
      </c>
      <c r="K326" s="302" t="str">
        <f xml:space="preserve"> _xll.EPMOlapMemberO("[C_ACCOUNT].[PARENTH1].[SMALL_IND_OTHER]","","SMALL_IND_OTHER","","000")</f>
        <v>SMALL_IND_OTHER</v>
      </c>
      <c r="L326" s="286" t="str">
        <f>_xll.EPMMemberDesc(K326)</f>
        <v>Small Ind Other</v>
      </c>
      <c r="M326" s="287">
        <v>0</v>
      </c>
      <c r="N326" s="287">
        <v>0</v>
      </c>
      <c r="O326" s="287">
        <v>0</v>
      </c>
      <c r="P326" s="287">
        <v>6923380.9635146996</v>
      </c>
      <c r="Q326" s="287">
        <v>6760127.0411126995</v>
      </c>
      <c r="R326" s="287">
        <v>6960918.8970895</v>
      </c>
      <c r="S326" s="287">
        <v>7268137.7988240998</v>
      </c>
      <c r="T326" s="287">
        <v>7561377.6189451003</v>
      </c>
      <c r="U326" s="287">
        <v>7760389.7415377004</v>
      </c>
      <c r="V326" s="287">
        <v>7809322.3645583</v>
      </c>
      <c r="W326" s="287">
        <v>7764311.0037898999</v>
      </c>
      <c r="X326" s="287">
        <v>7800633.1419732003</v>
      </c>
      <c r="Y326" s="287">
        <v>7507621.8739609998</v>
      </c>
      <c r="Z326" s="287">
        <v>7184459.9868007004</v>
      </c>
      <c r="AA326" s="287">
        <v>7189793.2217429997</v>
      </c>
      <c r="AB326" s="287">
        <v>88490473.6538499</v>
      </c>
    </row>
    <row r="327" spans="10:28" ht="15" customHeight="1" x14ac:dyDescent="0.25">
      <c r="J327" s="291" t="str">
        <f xml:space="preserve"> _xll.EPMOlapMemberO("[COSTCENTER].[PARENTH1].[1001]","","1001","","000")</f>
        <v>1001</v>
      </c>
      <c r="K327" s="303" t="str">
        <f xml:space="preserve"> _xll.EPMOlapMemberO("[C_ACCOUNT].[PARENTH1].[A_4420410]","","A_4420410","","000")</f>
        <v>A_4420410</v>
      </c>
      <c r="L327" s="293" t="str">
        <f>_xll.EPMMemberDesc(K327)</f>
        <v>Industrial-Other Small Base Revenue</v>
      </c>
      <c r="M327" s="293">
        <v>0</v>
      </c>
      <c r="N327" s="293">
        <v>0</v>
      </c>
      <c r="O327" s="293">
        <v>0</v>
      </c>
      <c r="P327" s="293">
        <v>3890631</v>
      </c>
      <c r="Q327" s="293">
        <v>3844732</v>
      </c>
      <c r="R327" s="293">
        <v>3953540</v>
      </c>
      <c r="S327" s="293">
        <v>4100435</v>
      </c>
      <c r="T327" s="293">
        <v>4231112</v>
      </c>
      <c r="U327" s="293">
        <v>4289942</v>
      </c>
      <c r="V327" s="293">
        <v>4309628</v>
      </c>
      <c r="W327" s="293">
        <v>4285224</v>
      </c>
      <c r="X327" s="293">
        <v>4288126</v>
      </c>
      <c r="Y327" s="293">
        <v>4166303</v>
      </c>
      <c r="Z327" s="293">
        <v>4045999</v>
      </c>
      <c r="AA327" s="293">
        <v>4054871</v>
      </c>
      <c r="AB327" s="293">
        <v>49460543</v>
      </c>
    </row>
    <row r="328" spans="10:28" ht="15" customHeight="1" x14ac:dyDescent="0.25">
      <c r="J328" s="291" t="str">
        <f xml:space="preserve"> _xll.EPMOlapMemberO("[COSTCENTER].[PARENTH1].[1001]","","1001","","000")</f>
        <v>1001</v>
      </c>
      <c r="K328" s="303" t="str">
        <f xml:space="preserve"> _xll.EPMOlapMemberO("[C_ACCOUNT].[PARENTH1].[A_4420420]","","A_4420420","","000")</f>
        <v>A_4420420</v>
      </c>
      <c r="L328" s="293" t="str">
        <f>_xll.EPMMemberDesc(K328)</f>
        <v>Industrial-Other Small Sales Fuel Adjustment Rev</v>
      </c>
      <c r="M328" s="293">
        <v>0</v>
      </c>
      <c r="N328" s="293">
        <v>0</v>
      </c>
      <c r="O328" s="293">
        <v>0</v>
      </c>
      <c r="P328" s="293">
        <v>2049418.8114833001</v>
      </c>
      <c r="Q328" s="293">
        <v>1966633.5397584999</v>
      </c>
      <c r="R328" s="293">
        <v>2028300.4347438</v>
      </c>
      <c r="S328" s="293">
        <v>2143415.2148410999</v>
      </c>
      <c r="T328" s="293">
        <v>2256495.7117555002</v>
      </c>
      <c r="U328" s="293">
        <v>2355320.5248987</v>
      </c>
      <c r="V328" s="293">
        <v>2387833.6341177998</v>
      </c>
      <c r="W328" s="293">
        <v>2368625.6718568001</v>
      </c>
      <c r="X328" s="293">
        <v>2398075.0495516001</v>
      </c>
      <c r="Y328" s="293">
        <v>2274330.4820265002</v>
      </c>
      <c r="Z328" s="293">
        <v>2131510.6221212</v>
      </c>
      <c r="AA328" s="293">
        <v>2115384.0297650001</v>
      </c>
      <c r="AB328" s="293">
        <v>26475343.7269198</v>
      </c>
    </row>
    <row r="329" spans="10:28" ht="15" customHeight="1" x14ac:dyDescent="0.25">
      <c r="J329" s="291" t="str">
        <f xml:space="preserve"> _xll.EPMOlapMemberO("[COSTCENTER].[PARENTH1].[1001]","","1001","","000")</f>
        <v>1001</v>
      </c>
      <c r="K329" s="303" t="str">
        <f xml:space="preserve"> _xll.EPMOlapMemberO("[C_ACCOUNT].[PARENTH1].[A_4420430]","","A_4420430","","000")</f>
        <v>A_4420430</v>
      </c>
      <c r="L329" s="293" t="str">
        <f>_xll.EPMMemberDesc(K329)</f>
        <v>Industrial-Other Small Capacity Revenue</v>
      </c>
      <c r="M329" s="293">
        <v>0</v>
      </c>
      <c r="N329" s="293">
        <v>0</v>
      </c>
      <c r="O329" s="293">
        <v>0</v>
      </c>
      <c r="P329" s="293">
        <v>1742</v>
      </c>
      <c r="Q329" s="293">
        <v>1778</v>
      </c>
      <c r="R329" s="293">
        <v>1782</v>
      </c>
      <c r="S329" s="293">
        <v>1804</v>
      </c>
      <c r="T329" s="293">
        <v>1888</v>
      </c>
      <c r="U329" s="293">
        <v>1954</v>
      </c>
      <c r="V329" s="293">
        <v>1940</v>
      </c>
      <c r="W329" s="293">
        <v>1919</v>
      </c>
      <c r="X329" s="293">
        <v>1944</v>
      </c>
      <c r="Y329" s="293">
        <v>1883</v>
      </c>
      <c r="Z329" s="293">
        <v>1800</v>
      </c>
      <c r="AA329" s="293">
        <v>1791</v>
      </c>
      <c r="AB329" s="293">
        <v>22225</v>
      </c>
    </row>
    <row r="330" spans="10:28" ht="15" customHeight="1" x14ac:dyDescent="0.25">
      <c r="J330" s="291" t="str">
        <f xml:space="preserve"> _xll.EPMOlapMemberO("[COSTCENTER].[PARENTH1].[1001]","","1001","","000")</f>
        <v>1001</v>
      </c>
      <c r="K330" s="303" t="str">
        <f xml:space="preserve"> _xll.EPMOlapMemberO("[C_ACCOUNT].[PARENTH1].[A_4420440]","","A_4420440","","000")</f>
        <v>A_4420440</v>
      </c>
      <c r="L330" s="293" t="str">
        <f>_xll.EPMMemberDesc(K330)</f>
        <v>Industrial-Other Small Conservation Revenue</v>
      </c>
      <c r="M330" s="293">
        <v>0</v>
      </c>
      <c r="N330" s="293">
        <v>0</v>
      </c>
      <c r="O330" s="293">
        <v>0</v>
      </c>
      <c r="P330" s="293">
        <v>129520</v>
      </c>
      <c r="Q330" s="293">
        <v>129314</v>
      </c>
      <c r="R330" s="293">
        <v>131004</v>
      </c>
      <c r="S330" s="293">
        <v>131775</v>
      </c>
      <c r="T330" s="293">
        <v>138193</v>
      </c>
      <c r="U330" s="293">
        <v>141037</v>
      </c>
      <c r="V330" s="293">
        <v>139551</v>
      </c>
      <c r="W330" s="293">
        <v>138593</v>
      </c>
      <c r="X330" s="293">
        <v>136717</v>
      </c>
      <c r="Y330" s="293">
        <v>133727</v>
      </c>
      <c r="Z330" s="293">
        <v>130914</v>
      </c>
      <c r="AA330" s="293">
        <v>136799</v>
      </c>
      <c r="AB330" s="293">
        <v>1617144</v>
      </c>
    </row>
    <row r="331" spans="10:28" ht="15" customHeight="1" x14ac:dyDescent="0.25">
      <c r="J331" s="291" t="str">
        <f xml:space="preserve"> _xll.EPMOlapMemberO("[COSTCENTER].[PARENTH1].[1001]","","1001","","000")</f>
        <v>1001</v>
      </c>
      <c r="K331" s="303" t="str">
        <f xml:space="preserve"> _xll.EPMOlapMemberO("[C_ACCOUNT].[PARENTH1].[A_4420450]","","A_4420450","","000")</f>
        <v>A_4420450</v>
      </c>
      <c r="L331" s="293" t="str">
        <f>_xll.EPMMemberDesc(K331)</f>
        <v>Industrial-Other Small Environmental Revenue</v>
      </c>
      <c r="M331" s="293">
        <v>0</v>
      </c>
      <c r="N331" s="293">
        <v>0</v>
      </c>
      <c r="O331" s="293">
        <v>0</v>
      </c>
      <c r="P331" s="293">
        <v>249947</v>
      </c>
      <c r="Q331" s="293">
        <v>240473</v>
      </c>
      <c r="R331" s="293">
        <v>250986</v>
      </c>
      <c r="S331" s="293">
        <v>264724</v>
      </c>
      <c r="T331" s="293">
        <v>269653</v>
      </c>
      <c r="U331" s="293">
        <v>275314</v>
      </c>
      <c r="V331" s="293">
        <v>278816</v>
      </c>
      <c r="W331" s="293">
        <v>276400</v>
      </c>
      <c r="X331" s="293">
        <v>280626</v>
      </c>
      <c r="Y331" s="293">
        <v>268423</v>
      </c>
      <c r="Z331" s="293">
        <v>259727</v>
      </c>
      <c r="AA331" s="293">
        <v>260232</v>
      </c>
      <c r="AB331" s="293">
        <v>3175321</v>
      </c>
    </row>
    <row r="332" spans="10:28" ht="15" customHeight="1" x14ac:dyDescent="0.25">
      <c r="J332" s="291" t="str">
        <f xml:space="preserve"> _xll.EPMOlapMemberO("[COSTCENTER].[PARENTH1].[1001]","","1001","","000")</f>
        <v>1001</v>
      </c>
      <c r="K332" s="303" t="str">
        <f xml:space="preserve"> _xll.EPMOlapMemberO("[C_ACCOUNT].[PARENTH1].[A_4420460]","","A_4420460","","000")</f>
        <v>A_4420460</v>
      </c>
      <c r="L332" s="293" t="str">
        <f>_xll.EPMMemberDesc(K332)</f>
        <v>Industrial-Other Small Franchise Revenue</v>
      </c>
      <c r="M332" s="293">
        <v>0</v>
      </c>
      <c r="N332" s="293">
        <v>0</v>
      </c>
      <c r="O332" s="293">
        <v>0</v>
      </c>
      <c r="P332" s="293">
        <v>326024.20467810001</v>
      </c>
      <c r="Q332" s="293">
        <v>302930.24861870002</v>
      </c>
      <c r="R332" s="293">
        <v>315463.18927730003</v>
      </c>
      <c r="S332" s="293">
        <v>337492.20413869998</v>
      </c>
      <c r="T332" s="293">
        <v>362282.46943900001</v>
      </c>
      <c r="U332" s="293">
        <v>386302.84598749998</v>
      </c>
      <c r="V332" s="293">
        <v>380864.44336829998</v>
      </c>
      <c r="W332" s="293">
        <v>385549.3077916</v>
      </c>
      <c r="X332" s="293">
        <v>385590.83776839997</v>
      </c>
      <c r="Y332" s="293">
        <v>364507.7563753</v>
      </c>
      <c r="Z332" s="293">
        <v>328475.9918439</v>
      </c>
      <c r="AA332" s="293">
        <v>333009.94032950001</v>
      </c>
      <c r="AB332" s="293">
        <v>4208493.4396163002</v>
      </c>
    </row>
    <row r="333" spans="10:28" ht="15" customHeight="1" x14ac:dyDescent="0.25">
      <c r="J333" s="291" t="str">
        <f xml:space="preserve"> _xll.EPMOlapMemberO("[COSTCENTER].[PARENTH1].[1001]","","1001","","000")</f>
        <v>1001</v>
      </c>
      <c r="K333" s="303" t="str">
        <f xml:space="preserve"> _xll.EPMOlapMemberO("[C_ACCOUNT].[PARENTH1].[A_4420470]","","A_4420470","","000")</f>
        <v>A_4420470</v>
      </c>
      <c r="L333" s="293" t="str">
        <f>_xll.EPMMemberDesc(K333)</f>
        <v>Industrial-Other Small Gross Receipts Tax Rev</v>
      </c>
      <c r="M333" s="293">
        <v>0</v>
      </c>
      <c r="N333" s="293">
        <v>0</v>
      </c>
      <c r="O333" s="293">
        <v>0</v>
      </c>
      <c r="P333" s="293">
        <v>139496.28735329999</v>
      </c>
      <c r="Q333" s="293">
        <v>135991.7627355</v>
      </c>
      <c r="R333" s="293">
        <v>140698.90306839999</v>
      </c>
      <c r="S333" s="293">
        <v>147829.66984429999</v>
      </c>
      <c r="T333" s="293">
        <v>154541.86775060001</v>
      </c>
      <c r="U333" s="293">
        <v>158917.28065150001</v>
      </c>
      <c r="V333" s="293">
        <v>160276.73707219999</v>
      </c>
      <c r="W333" s="293">
        <v>159034.13414149999</v>
      </c>
      <c r="X333" s="293">
        <v>159941.26465319999</v>
      </c>
      <c r="Y333" s="293">
        <v>153142.0555592</v>
      </c>
      <c r="Z333" s="293">
        <v>145962.74283559999</v>
      </c>
      <c r="AA333" s="293">
        <v>145982.7116485</v>
      </c>
      <c r="AB333" s="293">
        <v>1801815.4173138</v>
      </c>
    </row>
    <row r="334" spans="10:28" ht="15" customHeight="1" x14ac:dyDescent="0.25">
      <c r="J334" s="291" t="str">
        <f xml:space="preserve"> _xll.EPMOlapMemberO("[COSTCENTER].[PARENTH1].[1001]","","1001","","000")</f>
        <v>1001</v>
      </c>
      <c r="K334" s="303" t="str">
        <f xml:space="preserve"> _xll.EPMOlapMemberO("[C_ACCOUNT].[PARENTH1].[A_4420490]","","A_4420490","","000")</f>
        <v>A_4420490</v>
      </c>
      <c r="L334" s="293" t="str">
        <f>_xll.EPMMemberDesc(K334)</f>
        <v>Industrial-Other Small Storm Revenue</v>
      </c>
      <c r="M334" s="293">
        <v>0</v>
      </c>
      <c r="N334" s="293">
        <v>0</v>
      </c>
      <c r="O334" s="293">
        <v>0</v>
      </c>
      <c r="P334" s="293">
        <v>136601.66</v>
      </c>
      <c r="Q334" s="293">
        <v>138274.49</v>
      </c>
      <c r="R334" s="293">
        <v>139144.37</v>
      </c>
      <c r="S334" s="293">
        <v>140662.71</v>
      </c>
      <c r="T334" s="293">
        <v>147211.57</v>
      </c>
      <c r="U334" s="293">
        <v>151602.09</v>
      </c>
      <c r="V334" s="293">
        <v>150412.54999999999</v>
      </c>
      <c r="W334" s="293">
        <v>148965.89000000001</v>
      </c>
      <c r="X334" s="293">
        <v>149612.99</v>
      </c>
      <c r="Y334" s="293">
        <v>145305.57999999999</v>
      </c>
      <c r="Z334" s="293">
        <v>140070.63</v>
      </c>
      <c r="AA334" s="293">
        <v>141723.54</v>
      </c>
      <c r="AB334" s="293">
        <v>1729588.07</v>
      </c>
    </row>
    <row r="335" spans="10:28" ht="15" customHeight="1" x14ac:dyDescent="0.2">
      <c r="J335" s="286" t="str">
        <f xml:space="preserve"> _xll.EPMOlapMemberO("[COSTCENTER].[PARENTH1].[1001]","","1001","","000")</f>
        <v>1001</v>
      </c>
      <c r="K335" s="298" t="str">
        <f xml:space="preserve"> _xll.EPMOlapMemberO("[C_ACCOUNT].[PARENTH1].[OTHER_SALES_PA]","","OTHER_SALES_PA","","000")</f>
        <v>OTHER_SALES_PA</v>
      </c>
      <c r="L335" s="286" t="str">
        <f>_xll.EPMMemberDesc(K335)</f>
        <v>Other Sales to Public Authorities</v>
      </c>
      <c r="M335" s="287">
        <v>0</v>
      </c>
      <c r="N335" s="287">
        <v>0</v>
      </c>
      <c r="O335" s="287">
        <v>0</v>
      </c>
      <c r="P335" s="287">
        <v>14252334.766927101</v>
      </c>
      <c r="Q335" s="287">
        <v>14082824.785038101</v>
      </c>
      <c r="R335" s="287">
        <v>14075144.052891999</v>
      </c>
      <c r="S335" s="287">
        <v>14469786.526844099</v>
      </c>
      <c r="T335" s="287">
        <v>15126654.239636401</v>
      </c>
      <c r="U335" s="287">
        <v>15825469.611916799</v>
      </c>
      <c r="V335" s="287">
        <v>15598911.313059499</v>
      </c>
      <c r="W335" s="287">
        <v>15876707.1291897</v>
      </c>
      <c r="X335" s="287">
        <v>17120435.946944401</v>
      </c>
      <c r="Y335" s="287">
        <v>16312569.141280601</v>
      </c>
      <c r="Z335" s="287">
        <v>15096855.8374497</v>
      </c>
      <c r="AA335" s="287">
        <v>14554401.982874701</v>
      </c>
      <c r="AB335" s="287">
        <v>182392095.3340531</v>
      </c>
    </row>
    <row r="336" spans="10:28" ht="15" customHeight="1" x14ac:dyDescent="0.25">
      <c r="J336" s="291" t="str">
        <f xml:space="preserve"> _xll.EPMOlapMemberO("[COSTCENTER].[PARENTH1].[1001]","","1001","","000")</f>
        <v>1001</v>
      </c>
      <c r="K336" s="299" t="str">
        <f xml:space="preserve"> _xll.EPMOlapMemberO("[C_ACCOUNT].[PARENTH1].[A_4450010]","","A_4450010","","000")</f>
        <v>A_4450010</v>
      </c>
      <c r="L336" s="293" t="str">
        <f>_xll.EPMMemberDesc(K336)</f>
        <v>Oth Sales Public Authority Base Revenue</v>
      </c>
      <c r="M336" s="293">
        <v>0</v>
      </c>
      <c r="N336" s="293">
        <v>0</v>
      </c>
      <c r="O336" s="293">
        <v>0</v>
      </c>
      <c r="P336" s="293">
        <v>8323135</v>
      </c>
      <c r="Q336" s="293">
        <v>8314712</v>
      </c>
      <c r="R336" s="293">
        <v>8289620</v>
      </c>
      <c r="S336" s="293">
        <v>8474273</v>
      </c>
      <c r="T336" s="293">
        <v>8792193</v>
      </c>
      <c r="U336" s="293">
        <v>9104214</v>
      </c>
      <c r="V336" s="293">
        <v>8942248</v>
      </c>
      <c r="W336" s="293">
        <v>9112891</v>
      </c>
      <c r="X336" s="293">
        <v>9768671</v>
      </c>
      <c r="Y336" s="293">
        <v>9406442</v>
      </c>
      <c r="Z336" s="293">
        <v>8824461</v>
      </c>
      <c r="AA336" s="293">
        <v>8523164</v>
      </c>
      <c r="AB336" s="293">
        <v>105876024</v>
      </c>
    </row>
    <row r="337" spans="10:28" ht="15" customHeight="1" x14ac:dyDescent="0.25">
      <c r="J337" s="291" t="str">
        <f xml:space="preserve"> _xll.EPMOlapMemberO("[COSTCENTER].[PARENTH1].[1001]","","1001","","000")</f>
        <v>1001</v>
      </c>
      <c r="K337" s="299" t="str">
        <f xml:space="preserve"> _xll.EPMOlapMemberO("[C_ACCOUNT].[PARENTH1].[A_4450020]","","A_4450020","","000")</f>
        <v>A_4450020</v>
      </c>
      <c r="L337" s="293" t="str">
        <f>_xll.EPMMemberDesc(K337)</f>
        <v>Oth Sales Public Authority Sales Fuel Adjustment</v>
      </c>
      <c r="M337" s="293">
        <v>0</v>
      </c>
      <c r="N337" s="293">
        <v>0</v>
      </c>
      <c r="O337" s="293">
        <v>0</v>
      </c>
      <c r="P337" s="293">
        <v>4384273.2552933004</v>
      </c>
      <c r="Q337" s="293">
        <v>4253090.0704217004</v>
      </c>
      <c r="R337" s="293">
        <v>4252856.8953042002</v>
      </c>
      <c r="S337" s="293">
        <v>4429746.0349735999</v>
      </c>
      <c r="T337" s="293">
        <v>4688967.2978229998</v>
      </c>
      <c r="U337" s="293">
        <v>4998515.6203207998</v>
      </c>
      <c r="V337" s="293">
        <v>4954627.2993917</v>
      </c>
      <c r="W337" s="293">
        <v>5037082.6746591004</v>
      </c>
      <c r="X337" s="293">
        <v>5462993.9027859997</v>
      </c>
      <c r="Y337" s="293">
        <v>5134854.0343835</v>
      </c>
      <c r="Z337" s="293">
        <v>4648896.9364537001</v>
      </c>
      <c r="AA337" s="293">
        <v>4446446.0173129998</v>
      </c>
      <c r="AB337" s="293">
        <v>56692350.039123602</v>
      </c>
    </row>
    <row r="338" spans="10:28" ht="15" customHeight="1" x14ac:dyDescent="0.25">
      <c r="J338" s="291" t="str">
        <f xml:space="preserve"> _xll.EPMOlapMemberO("[COSTCENTER].[PARENTH1].[1001]","","1001","","000")</f>
        <v>1001</v>
      </c>
      <c r="K338" s="299" t="str">
        <f xml:space="preserve"> _xll.EPMOlapMemberO("[C_ACCOUNT].[PARENTH1].[A_4450030]","","A_4450030","","000")</f>
        <v>A_4450030</v>
      </c>
      <c r="L338" s="293" t="str">
        <f>_xll.EPMMemberDesc(K338)</f>
        <v>Oth Sales Public Authority Capacity Revenue</v>
      </c>
      <c r="M338" s="293">
        <v>0</v>
      </c>
      <c r="N338" s="293">
        <v>0</v>
      </c>
      <c r="O338" s="293">
        <v>0</v>
      </c>
      <c r="P338" s="293">
        <v>3256</v>
      </c>
      <c r="Q338" s="293">
        <v>3316</v>
      </c>
      <c r="R338" s="293">
        <v>3311</v>
      </c>
      <c r="S338" s="293">
        <v>3328</v>
      </c>
      <c r="T338" s="293">
        <v>3450</v>
      </c>
      <c r="U338" s="293">
        <v>3559</v>
      </c>
      <c r="V338" s="293">
        <v>3467</v>
      </c>
      <c r="W338" s="293">
        <v>3546</v>
      </c>
      <c r="X338" s="293">
        <v>3772</v>
      </c>
      <c r="Y338" s="293">
        <v>3688</v>
      </c>
      <c r="Z338" s="293">
        <v>3462</v>
      </c>
      <c r="AA338" s="293">
        <v>3405</v>
      </c>
      <c r="AB338" s="293">
        <v>41560</v>
      </c>
    </row>
    <row r="339" spans="10:28" ht="15" customHeight="1" x14ac:dyDescent="0.25">
      <c r="J339" s="291" t="str">
        <f xml:space="preserve"> _xll.EPMOlapMemberO("[COSTCENTER].[PARENTH1].[1001]","","1001","","000")</f>
        <v>1001</v>
      </c>
      <c r="K339" s="299" t="str">
        <f xml:space="preserve"> _xll.EPMOlapMemberO("[C_ACCOUNT].[PARENTH1].[A_4450040]","","A_4450040","","000")</f>
        <v>A_4450040</v>
      </c>
      <c r="L339" s="293" t="str">
        <f>_xll.EPMMemberDesc(K339)</f>
        <v>Oth Sales Public Authority Conservation Revenue</v>
      </c>
      <c r="M339" s="293">
        <v>0</v>
      </c>
      <c r="N339" s="293">
        <v>0</v>
      </c>
      <c r="O339" s="293">
        <v>0</v>
      </c>
      <c r="P339" s="293">
        <v>203525</v>
      </c>
      <c r="Q339" s="293">
        <v>206778</v>
      </c>
      <c r="R339" s="293">
        <v>206423</v>
      </c>
      <c r="S339" s="293">
        <v>207528</v>
      </c>
      <c r="T339" s="293">
        <v>214941</v>
      </c>
      <c r="U339" s="293">
        <v>221689</v>
      </c>
      <c r="V339" s="293">
        <v>216038</v>
      </c>
      <c r="W339" s="293">
        <v>220807</v>
      </c>
      <c r="X339" s="293">
        <v>234907</v>
      </c>
      <c r="Y339" s="293">
        <v>229442</v>
      </c>
      <c r="Z339" s="293">
        <v>215420</v>
      </c>
      <c r="AA339" s="293">
        <v>211779</v>
      </c>
      <c r="AB339" s="293">
        <v>2589277</v>
      </c>
    </row>
    <row r="340" spans="10:28" ht="15" customHeight="1" x14ac:dyDescent="0.25">
      <c r="J340" s="291" t="str">
        <f xml:space="preserve"> _xll.EPMOlapMemberO("[COSTCENTER].[PARENTH1].[1001]","","1001","","000")</f>
        <v>1001</v>
      </c>
      <c r="K340" s="299" t="str">
        <f xml:space="preserve"> _xll.EPMOlapMemberO("[C_ACCOUNT].[PARENTH1].[A_4450050]","","A_4450050","","000")</f>
        <v>A_4450050</v>
      </c>
      <c r="L340" s="293" t="str">
        <f>_xll.EPMMemberDesc(K340)</f>
        <v>Oth Sales Public Authority Environmental Revenue</v>
      </c>
      <c r="M340" s="293">
        <v>0</v>
      </c>
      <c r="N340" s="293">
        <v>0</v>
      </c>
      <c r="O340" s="293">
        <v>0</v>
      </c>
      <c r="P340" s="293">
        <v>390770</v>
      </c>
      <c r="Q340" s="293">
        <v>375854</v>
      </c>
      <c r="R340" s="293">
        <v>376024</v>
      </c>
      <c r="S340" s="293">
        <v>394867</v>
      </c>
      <c r="T340" s="293">
        <v>414300</v>
      </c>
      <c r="U340" s="293">
        <v>441197</v>
      </c>
      <c r="V340" s="293">
        <v>435269</v>
      </c>
      <c r="W340" s="293">
        <v>443757</v>
      </c>
      <c r="X340" s="293">
        <v>496013</v>
      </c>
      <c r="Y340" s="293">
        <v>456828</v>
      </c>
      <c r="Z340" s="293">
        <v>411516</v>
      </c>
      <c r="AA340" s="293">
        <v>391789</v>
      </c>
      <c r="AB340" s="293">
        <v>5028184</v>
      </c>
    </row>
    <row r="341" spans="10:28" ht="15" customHeight="1" x14ac:dyDescent="0.25">
      <c r="J341" s="291" t="str">
        <f xml:space="preserve"> _xll.EPMOlapMemberO("[COSTCENTER].[PARENTH1].[1001]","","1001","","000")</f>
        <v>1001</v>
      </c>
      <c r="K341" s="299" t="str">
        <f xml:space="preserve"> _xll.EPMOlapMemberO("[C_ACCOUNT].[PARENTH1].[A_4450060]","","A_4450060","","000")</f>
        <v>A_4450060</v>
      </c>
      <c r="L341" s="293" t="str">
        <f>_xll.EPMMemberDesc(K341)</f>
        <v>Oth Sales Public Authority Franchise Revenue</v>
      </c>
      <c r="M341" s="293">
        <v>0</v>
      </c>
      <c r="N341" s="293">
        <v>0</v>
      </c>
      <c r="O341" s="293">
        <v>0</v>
      </c>
      <c r="P341" s="293">
        <v>396837.99784800003</v>
      </c>
      <c r="Q341" s="293">
        <v>378913.54165580001</v>
      </c>
      <c r="R341" s="293">
        <v>398201.6477341</v>
      </c>
      <c r="S341" s="293">
        <v>400390.97559490002</v>
      </c>
      <c r="T341" s="293">
        <v>428793.65927800001</v>
      </c>
      <c r="U341" s="293">
        <v>447319.20899050002</v>
      </c>
      <c r="V341" s="293">
        <v>451162.05803269998</v>
      </c>
      <c r="W341" s="293">
        <v>450023.82828349998</v>
      </c>
      <c r="X341" s="293">
        <v>498526.06095379998</v>
      </c>
      <c r="Y341" s="293">
        <v>451845.7832834</v>
      </c>
      <c r="Z341" s="293">
        <v>410246.32279830001</v>
      </c>
      <c r="AA341" s="293">
        <v>413238.2177558</v>
      </c>
      <c r="AB341" s="293">
        <v>5125499.3022087999</v>
      </c>
    </row>
    <row r="342" spans="10:28" ht="15" customHeight="1" x14ac:dyDescent="0.25">
      <c r="J342" s="291" t="str">
        <f xml:space="preserve"> _xll.EPMOlapMemberO("[COSTCENTER].[PARENTH1].[1001]","","1001","","000")</f>
        <v>1001</v>
      </c>
      <c r="K342" s="299" t="str">
        <f xml:space="preserve"> _xll.EPMOlapMemberO("[C_ACCOUNT].[PARENTH1].[A_4450070]","","A_4450070","","000")</f>
        <v>A_4450070</v>
      </c>
      <c r="L342" s="293" t="str">
        <f>_xll.EPMMemberDesc(K342)</f>
        <v>Oth Sales Public Authority Gross Receipts Tax Rev</v>
      </c>
      <c r="M342" s="293">
        <v>0</v>
      </c>
      <c r="N342" s="293">
        <v>0</v>
      </c>
      <c r="O342" s="293">
        <v>0</v>
      </c>
      <c r="P342" s="293">
        <v>293590.18378580001</v>
      </c>
      <c r="Q342" s="293">
        <v>289664.32296060002</v>
      </c>
      <c r="R342" s="293">
        <v>288834.80985369999</v>
      </c>
      <c r="S342" s="293">
        <v>298429.65627560002</v>
      </c>
      <c r="T342" s="293">
        <v>313890.31253539998</v>
      </c>
      <c r="U342" s="293">
        <v>330638.6426055</v>
      </c>
      <c r="V342" s="293">
        <v>324750.23563509999</v>
      </c>
      <c r="W342" s="293">
        <v>331521.03624709998</v>
      </c>
      <c r="X342" s="293">
        <v>361066.6732046</v>
      </c>
      <c r="Y342" s="293">
        <v>341988.28361370001</v>
      </c>
      <c r="Z342" s="293">
        <v>312646.67819770001</v>
      </c>
      <c r="AA342" s="293">
        <v>298932.39780590002</v>
      </c>
      <c r="AB342" s="293">
        <v>3785953.2327207001</v>
      </c>
    </row>
    <row r="343" spans="10:28" ht="15" customHeight="1" x14ac:dyDescent="0.25">
      <c r="J343" s="291" t="str">
        <f xml:space="preserve"> _xll.EPMOlapMemberO("[COSTCENTER].[PARENTH1].[1001]","","1001","","000")</f>
        <v>1001</v>
      </c>
      <c r="K343" s="299" t="str">
        <f xml:space="preserve"> _xll.EPMOlapMemberO("[C_ACCOUNT].[PARENTH1].[A_4450090]","","A_4450090","","000")</f>
        <v>A_4450090</v>
      </c>
      <c r="L343" s="293" t="str">
        <f>_xll.EPMMemberDesc(K343)</f>
        <v>Oth Sales Public Authority Storm Revenue</v>
      </c>
      <c r="M343" s="293">
        <v>0</v>
      </c>
      <c r="N343" s="293">
        <v>0</v>
      </c>
      <c r="O343" s="293">
        <v>0</v>
      </c>
      <c r="P343" s="293">
        <v>256947.33</v>
      </c>
      <c r="Q343" s="293">
        <v>260496.85</v>
      </c>
      <c r="R343" s="293">
        <v>259872.7</v>
      </c>
      <c r="S343" s="293">
        <v>261223.86</v>
      </c>
      <c r="T343" s="293">
        <v>270118.96999999997</v>
      </c>
      <c r="U343" s="293">
        <v>278337.14</v>
      </c>
      <c r="V343" s="293">
        <v>271349.71999999997</v>
      </c>
      <c r="W343" s="293">
        <v>277078.59000000003</v>
      </c>
      <c r="X343" s="293">
        <v>294486.31</v>
      </c>
      <c r="Y343" s="293">
        <v>287481.03999999998</v>
      </c>
      <c r="Z343" s="293">
        <v>270206.90000000002</v>
      </c>
      <c r="AA343" s="293">
        <v>265648.34999999998</v>
      </c>
      <c r="AB343" s="293">
        <v>3253247.76</v>
      </c>
    </row>
    <row r="344" spans="10:28" ht="15" customHeight="1" x14ac:dyDescent="0.2">
      <c r="J344" s="286" t="str">
        <f xml:space="preserve"> _xll.EPMOlapMemberO("[COSTCENTER].[PARENTH1].[1001]","","1001","","000")</f>
        <v>1001</v>
      </c>
      <c r="K344" s="298" t="str">
        <f xml:space="preserve"> _xll.EPMOlapMemberO("[C_ACCOUNT].[PARENTH1].[ELEC_DCR_REV]","","Elec_DCR_Rev","","000")</f>
        <v>Elec_DCR_Rev</v>
      </c>
      <c r="L344" s="286" t="str">
        <f>_xll.EPMMemberDesc(K344)</f>
        <v>Electric Deferred Clause Recovery Revenue</v>
      </c>
      <c r="M344" s="287">
        <v>0</v>
      </c>
      <c r="N344" s="287">
        <v>0</v>
      </c>
      <c r="O344" s="287">
        <v>0</v>
      </c>
      <c r="P344" s="287">
        <v>1335047</v>
      </c>
      <c r="Q344" s="287">
        <v>1490229</v>
      </c>
      <c r="R344" s="287">
        <v>1246280.8490687001</v>
      </c>
      <c r="S344" s="287">
        <v>1245175.1751538999</v>
      </c>
      <c r="T344" s="287">
        <v>1161558.6345032</v>
      </c>
      <c r="U344" s="287">
        <v>-1300359.5417502001</v>
      </c>
      <c r="V344" s="287">
        <v>-2223335.9673155001</v>
      </c>
      <c r="W344" s="287">
        <v>-1249261.6035327001</v>
      </c>
      <c r="X344" s="287">
        <v>-7344880.3248426002</v>
      </c>
      <c r="Y344" s="287">
        <v>84544.474700000006</v>
      </c>
      <c r="Z344" s="287">
        <v>-3178144.7184780999</v>
      </c>
      <c r="AA344" s="287">
        <v>1244761.8377968001</v>
      </c>
      <c r="AB344" s="287">
        <v>-7488385.1846965002</v>
      </c>
    </row>
    <row r="345" spans="10:28" ht="15" customHeight="1" x14ac:dyDescent="0.2">
      <c r="J345" s="286" t="str">
        <f xml:space="preserve"> _xll.EPMOlapMemberO("[COSTCENTER].[PARENTH1].[1001]","","1001","","000")</f>
        <v>1001</v>
      </c>
      <c r="K345" s="300" t="str">
        <f xml:space="preserve"> _xll.EPMOlapMemberO("[C_ACCOUNT].[PARENTH1].[DFD_CLS_RECOV]","","DFD_CLS_RECOV","","000")</f>
        <v>DFD_CLS_RECOV</v>
      </c>
      <c r="L345" s="286" t="str">
        <f>_xll.EPMMemberDesc(K345)</f>
        <v>Deferred Clause Recovery</v>
      </c>
      <c r="M345" s="287">
        <v>0</v>
      </c>
      <c r="N345" s="287">
        <v>0</v>
      </c>
      <c r="O345" s="287">
        <v>0</v>
      </c>
      <c r="P345" s="287">
        <v>1335047</v>
      </c>
      <c r="Q345" s="287">
        <v>1490229</v>
      </c>
      <c r="R345" s="287">
        <v>1246280.8490687001</v>
      </c>
      <c r="S345" s="287">
        <v>1245175.1751538999</v>
      </c>
      <c r="T345" s="287">
        <v>1161558.6345032</v>
      </c>
      <c r="U345" s="287">
        <v>-1300359.5417502001</v>
      </c>
      <c r="V345" s="287">
        <v>-2223335.9673155001</v>
      </c>
      <c r="W345" s="287">
        <v>-1249261.6035327001</v>
      </c>
      <c r="X345" s="287">
        <v>-7344880.3248426002</v>
      </c>
      <c r="Y345" s="287">
        <v>84544.474700000006</v>
      </c>
      <c r="Z345" s="287">
        <v>-3178144.7184780999</v>
      </c>
      <c r="AA345" s="287">
        <v>1244761.8377968001</v>
      </c>
      <c r="AB345" s="287">
        <v>-7488385.1846965002</v>
      </c>
    </row>
    <row r="346" spans="10:28" ht="15" customHeight="1" x14ac:dyDescent="0.25">
      <c r="J346" s="291" t="str">
        <f xml:space="preserve"> _xll.EPMOlapMemberO("[COSTCENTER].[PARENTH1].[1001]","","1001","","000")</f>
        <v>1001</v>
      </c>
      <c r="K346" s="301" t="str">
        <f xml:space="preserve"> _xll.EPMOlapMemberO("[C_ACCOUNT].[PARENTH1].[A_4073020]","","A_4073020","","000")</f>
        <v>A_4073020</v>
      </c>
      <c r="L346" s="293" t="str">
        <f>_xll.EPMMemberDesc(K346)</f>
        <v>REG DR Defd Fuel and Purchased Power</v>
      </c>
      <c r="M346" s="293">
        <v>0</v>
      </c>
      <c r="N346" s="293">
        <v>0</v>
      </c>
      <c r="O346" s="293">
        <v>0</v>
      </c>
      <c r="P346" s="293">
        <v>0</v>
      </c>
      <c r="Q346" s="293">
        <v>0</v>
      </c>
      <c r="R346" s="293">
        <v>0</v>
      </c>
      <c r="S346" s="293">
        <v>0</v>
      </c>
      <c r="T346" s="293">
        <v>0</v>
      </c>
      <c r="U346" s="293">
        <v>-1081971.6980377</v>
      </c>
      <c r="V346" s="293">
        <v>-1995808.9657966001</v>
      </c>
      <c r="W346" s="293">
        <v>-666895.20350069995</v>
      </c>
      <c r="X346" s="293">
        <v>-6560675.2937449999</v>
      </c>
      <c r="Y346" s="293">
        <v>-175781.76944420001</v>
      </c>
      <c r="Z346" s="293">
        <v>-4421463.4602640001</v>
      </c>
      <c r="AA346" s="293">
        <v>0</v>
      </c>
      <c r="AB346" s="293">
        <v>-14902596.390788199</v>
      </c>
    </row>
    <row r="347" spans="10:28" ht="15" customHeight="1" x14ac:dyDescent="0.25">
      <c r="J347" s="291" t="str">
        <f xml:space="preserve"> _xll.EPMOlapMemberO("[COSTCENTER].[PARENTH1].[1001]","","1001","","000")</f>
        <v>1001</v>
      </c>
      <c r="K347" s="301" t="str">
        <f xml:space="preserve"> _xll.EPMOlapMemberO("[C_ACCOUNT].[PARENTH1].[A_4073030]","","A_4073030","","000")</f>
        <v>A_4073030</v>
      </c>
      <c r="L347" s="293" t="str">
        <f>_xll.EPMMemberDesc(K347)</f>
        <v>REG DR Defd Capacity</v>
      </c>
      <c r="M347" s="293">
        <v>0</v>
      </c>
      <c r="N347" s="293">
        <v>0</v>
      </c>
      <c r="O347" s="293">
        <v>0</v>
      </c>
      <c r="P347" s="293">
        <v>0</v>
      </c>
      <c r="Q347" s="293">
        <v>0</v>
      </c>
      <c r="R347" s="293">
        <v>-243948.15093130001</v>
      </c>
      <c r="S347" s="293">
        <v>-245053.8248461</v>
      </c>
      <c r="T347" s="293">
        <v>-247997.36549679999</v>
      </c>
      <c r="U347" s="293">
        <v>-252749.84371250001</v>
      </c>
      <c r="V347" s="293">
        <v>-254114.00151890001</v>
      </c>
      <c r="W347" s="293">
        <v>-253949.40003200001</v>
      </c>
      <c r="X347" s="293">
        <v>-255434.0310976</v>
      </c>
      <c r="Y347" s="293">
        <v>-252260.7558558</v>
      </c>
      <c r="Z347" s="293">
        <v>-246910.2582141</v>
      </c>
      <c r="AA347" s="293">
        <v>-245478.79220319999</v>
      </c>
      <c r="AB347" s="293">
        <v>-2497896.4239083002</v>
      </c>
    </row>
    <row r="348" spans="10:28" ht="15" customHeight="1" x14ac:dyDescent="0.25">
      <c r="J348" s="291" t="str">
        <f xml:space="preserve"> _xll.EPMOlapMemberO("[COSTCENTER].[PARENTH1].[1001]","","1001","","000")</f>
        <v>1001</v>
      </c>
      <c r="K348" s="301" t="str">
        <f xml:space="preserve"> _xll.EPMOlapMemberO("[C_ACCOUNT].[PARENTH1].[A_4074031]","","A_4074031","","000")</f>
        <v>A_4074031</v>
      </c>
      <c r="L348" s="293" t="str">
        <f>_xll.EPMMemberDesc(K348)</f>
        <v>REG CR Defd Capacity - Amortization</v>
      </c>
      <c r="M348" s="293">
        <v>0</v>
      </c>
      <c r="N348" s="293">
        <v>0</v>
      </c>
      <c r="O348" s="293">
        <v>0</v>
      </c>
      <c r="P348" s="293">
        <v>147623</v>
      </c>
      <c r="Q348" s="293">
        <v>147623</v>
      </c>
      <c r="R348" s="293">
        <v>147623</v>
      </c>
      <c r="S348" s="293">
        <v>147623</v>
      </c>
      <c r="T348" s="293">
        <v>147623</v>
      </c>
      <c r="U348" s="293">
        <v>147623</v>
      </c>
      <c r="V348" s="293">
        <v>147623</v>
      </c>
      <c r="W348" s="293">
        <v>147623</v>
      </c>
      <c r="X348" s="293">
        <v>147623</v>
      </c>
      <c r="Y348" s="293">
        <v>147623</v>
      </c>
      <c r="Z348" s="293">
        <v>147623</v>
      </c>
      <c r="AA348" s="293">
        <v>147626.63</v>
      </c>
      <c r="AB348" s="293">
        <v>1771479.63</v>
      </c>
    </row>
    <row r="349" spans="10:28" ht="15" customHeight="1" x14ac:dyDescent="0.25">
      <c r="J349" s="291" t="str">
        <f xml:space="preserve"> _xll.EPMOlapMemberO("[COSTCENTER].[PARENTH1].[1001]","","1001","","000")</f>
        <v>1001</v>
      </c>
      <c r="K349" s="301" t="str">
        <f xml:space="preserve"> _xll.EPMOlapMemberO("[C_ACCOUNT].[PARENTH1].[A_4073040]","","A_4073040","","000")</f>
        <v>A_4073040</v>
      </c>
      <c r="L349" s="293" t="str">
        <f>_xll.EPMMemberDesc(K349)</f>
        <v>REG DR Defd Conservation Electric</v>
      </c>
      <c r="M349" s="293">
        <v>0</v>
      </c>
      <c r="N349" s="293">
        <v>0</v>
      </c>
      <c r="O349" s="293">
        <v>0</v>
      </c>
      <c r="P349" s="293">
        <v>0</v>
      </c>
      <c r="Q349" s="293">
        <v>0</v>
      </c>
      <c r="R349" s="293">
        <v>0</v>
      </c>
      <c r="S349" s="293">
        <v>0</v>
      </c>
      <c r="T349" s="293">
        <v>-80673</v>
      </c>
      <c r="U349" s="293">
        <v>-484364</v>
      </c>
      <c r="V349" s="293">
        <v>-166898</v>
      </c>
      <c r="W349" s="293">
        <v>-557495</v>
      </c>
      <c r="X349" s="293">
        <v>-512993</v>
      </c>
      <c r="Y349" s="293">
        <v>-374313</v>
      </c>
      <c r="Z349" s="293">
        <v>0</v>
      </c>
      <c r="AA349" s="293">
        <v>0</v>
      </c>
      <c r="AB349" s="293">
        <v>-2176736</v>
      </c>
    </row>
    <row r="350" spans="10:28" ht="15" customHeight="1" x14ac:dyDescent="0.25">
      <c r="J350" s="291" t="str">
        <f xml:space="preserve"> _xll.EPMOlapMemberO("[COSTCENTER].[PARENTH1].[1001]","","1001","","000")</f>
        <v>1001</v>
      </c>
      <c r="K350" s="301" t="str">
        <f xml:space="preserve"> _xll.EPMOlapMemberO("[C_ACCOUNT].[PARENTH1].[A_4073050]","","A_4073050","","000")</f>
        <v>A_4073050</v>
      </c>
      <c r="L350" s="293" t="str">
        <f>_xll.EPMMemberDesc(K350)</f>
        <v>REG DR Defd Environmental</v>
      </c>
      <c r="M350" s="293">
        <v>0</v>
      </c>
      <c r="N350" s="293">
        <v>0</v>
      </c>
      <c r="O350" s="293">
        <v>0</v>
      </c>
      <c r="P350" s="293">
        <v>0</v>
      </c>
      <c r="Q350" s="293">
        <v>0</v>
      </c>
      <c r="R350" s="293">
        <v>0</v>
      </c>
      <c r="S350" s="293">
        <v>0</v>
      </c>
      <c r="T350" s="293">
        <v>0</v>
      </c>
      <c r="U350" s="293">
        <v>-572912</v>
      </c>
      <c r="V350" s="293">
        <v>-789152</v>
      </c>
      <c r="W350" s="293">
        <v>-750728</v>
      </c>
      <c r="X350" s="293">
        <v>-977184</v>
      </c>
      <c r="Y350" s="293">
        <v>-460625</v>
      </c>
      <c r="Z350" s="293">
        <v>0</v>
      </c>
      <c r="AA350" s="293">
        <v>0</v>
      </c>
      <c r="AB350" s="293">
        <v>-3550601</v>
      </c>
    </row>
    <row r="351" spans="10:28" ht="15" customHeight="1" x14ac:dyDescent="0.25">
      <c r="J351" s="291" t="str">
        <f xml:space="preserve"> _xll.EPMOlapMemberO("[COSTCENTER].[PARENTH1].[1001]","","1001","","000")</f>
        <v>1001</v>
      </c>
      <c r="K351" s="301" t="str">
        <f xml:space="preserve"> _xll.EPMOlapMemberO("[C_ACCOUNT].[PARENTH1].[A_4074041]","","A_4074041","","000")</f>
        <v>A_4074041</v>
      </c>
      <c r="L351" s="293" t="str">
        <f>_xll.EPMMemberDesc(K351)</f>
        <v>REG CR Defd Conservation - Elec - Amortiz</v>
      </c>
      <c r="M351" s="293">
        <v>0</v>
      </c>
      <c r="N351" s="293">
        <v>0</v>
      </c>
      <c r="O351" s="293">
        <v>0</v>
      </c>
      <c r="P351" s="293">
        <v>1441008</v>
      </c>
      <c r="Q351" s="293">
        <v>1441008</v>
      </c>
      <c r="R351" s="293">
        <v>1441008</v>
      </c>
      <c r="S351" s="293">
        <v>1441008</v>
      </c>
      <c r="T351" s="293">
        <v>1441008</v>
      </c>
      <c r="U351" s="293">
        <v>1441008</v>
      </c>
      <c r="V351" s="293">
        <v>1441008</v>
      </c>
      <c r="W351" s="293">
        <v>1441008</v>
      </c>
      <c r="X351" s="293">
        <v>1441008</v>
      </c>
      <c r="Y351" s="293">
        <v>1441008</v>
      </c>
      <c r="Z351" s="293">
        <v>1441008</v>
      </c>
      <c r="AA351" s="293">
        <v>1441012</v>
      </c>
      <c r="AB351" s="293">
        <v>17292100</v>
      </c>
    </row>
    <row r="352" spans="10:28" ht="15" customHeight="1" x14ac:dyDescent="0.25">
      <c r="J352" s="291" t="str">
        <f xml:space="preserve"> _xll.EPMOlapMemberO("[COSTCENTER].[PARENTH1].[1001]","","1001","","000")</f>
        <v>1001</v>
      </c>
      <c r="K352" s="301" t="str">
        <f xml:space="preserve"> _xll.EPMOlapMemberO("[C_ACCOUNT].[PARENTH1].[A_4073022]","","A_4073022","","000")</f>
        <v>A_4073022</v>
      </c>
      <c r="L352" s="293" t="str">
        <f>_xll.EPMMemberDesc(K352)</f>
        <v>REG DR Asset Optimization</v>
      </c>
      <c r="M352" s="293">
        <v>0</v>
      </c>
      <c r="N352" s="293">
        <v>0</v>
      </c>
      <c r="O352" s="293">
        <v>0</v>
      </c>
      <c r="P352" s="293">
        <v>-98402</v>
      </c>
      <c r="Q352" s="293">
        <v>-98402</v>
      </c>
      <c r="R352" s="293">
        <v>-98402</v>
      </c>
      <c r="S352" s="293">
        <v>-98402</v>
      </c>
      <c r="T352" s="293">
        <v>-98402</v>
      </c>
      <c r="U352" s="293">
        <v>-98402</v>
      </c>
      <c r="V352" s="293">
        <v>-98402</v>
      </c>
      <c r="W352" s="293">
        <v>-98402</v>
      </c>
      <c r="X352" s="293">
        <v>-98402</v>
      </c>
      <c r="Y352" s="293">
        <v>-98402</v>
      </c>
      <c r="Z352" s="293">
        <v>-98402</v>
      </c>
      <c r="AA352" s="293">
        <v>-98398</v>
      </c>
      <c r="AB352" s="293">
        <v>-1180820</v>
      </c>
    </row>
    <row r="353" spans="10:28" ht="15" customHeight="1" x14ac:dyDescent="0.25">
      <c r="J353" s="291" t="str">
        <f xml:space="preserve"> _xll.EPMOlapMemberO("[COSTCENTER].[PARENTH1].[1001]","","1001","","000")</f>
        <v>1001</v>
      </c>
      <c r="K353" s="301" t="str">
        <f xml:space="preserve"> _xll.EPMOlapMemberO("[C_ACCOUNT].[PARENTH1].[A_4073090]","","A_4073090","","000")</f>
        <v>A_4073090</v>
      </c>
      <c r="L353" s="293" t="str">
        <f>_xll.EPMMemberDesc(K353)</f>
        <v>REG DR Defd SPPCRC</v>
      </c>
      <c r="M353" s="293">
        <v>0</v>
      </c>
      <c r="N353" s="293">
        <v>0</v>
      </c>
      <c r="O353" s="293">
        <v>0</v>
      </c>
      <c r="P353" s="293">
        <v>-155182</v>
      </c>
      <c r="Q353" s="293">
        <v>0</v>
      </c>
      <c r="R353" s="293">
        <v>0</v>
      </c>
      <c r="S353" s="293">
        <v>0</v>
      </c>
      <c r="T353" s="293">
        <v>0</v>
      </c>
      <c r="U353" s="293">
        <v>-398591</v>
      </c>
      <c r="V353" s="293">
        <v>-507592</v>
      </c>
      <c r="W353" s="293">
        <v>-510423</v>
      </c>
      <c r="X353" s="293">
        <v>-528823</v>
      </c>
      <c r="Y353" s="293">
        <v>-142704</v>
      </c>
      <c r="Z353" s="293">
        <v>0</v>
      </c>
      <c r="AA353" s="293">
        <v>0</v>
      </c>
      <c r="AB353" s="293">
        <v>-2243315</v>
      </c>
    </row>
    <row r="354" spans="10:28" ht="15" customHeight="1" x14ac:dyDescent="0.2">
      <c r="J354" s="286" t="str">
        <f xml:space="preserve"> _xll.EPMOlapMemberO("[COSTCENTER].[PARENTH1].[1001]","","1001","","000")</f>
        <v>1001</v>
      </c>
      <c r="K354" s="298" t="str">
        <f xml:space="preserve"> _xll.EPMOlapMemberO("[C_ACCOUNT].[PARENTH1].[ELEC_OTH_REV]","","Elec_Oth_Rev","","000")</f>
        <v>Elec_Oth_Rev</v>
      </c>
      <c r="L354" s="286" t="str">
        <f>_xll.EPMMemberDesc(K354)</f>
        <v>Other Revenues</v>
      </c>
      <c r="M354" s="287">
        <v>0</v>
      </c>
      <c r="N354" s="287">
        <v>0</v>
      </c>
      <c r="O354" s="287">
        <v>0</v>
      </c>
      <c r="P354" s="287">
        <v>2234345.6919541</v>
      </c>
      <c r="Q354" s="287">
        <v>-120054.503931</v>
      </c>
      <c r="R354" s="287">
        <v>6328114.4394305004</v>
      </c>
      <c r="S354" s="287">
        <v>8062864.2613896001</v>
      </c>
      <c r="T354" s="287">
        <v>12571278.412712401</v>
      </c>
      <c r="U354" s="287">
        <v>6437235.3561287001</v>
      </c>
      <c r="V354" s="287">
        <v>6072890.4512242004</v>
      </c>
      <c r="W354" s="287">
        <v>8487938.0114639997</v>
      </c>
      <c r="X354" s="287">
        <v>-2421524.1147412001</v>
      </c>
      <c r="Y354" s="287">
        <v>-1091935.6569737999</v>
      </c>
      <c r="Z354" s="287">
        <v>-2814564.1910179001</v>
      </c>
      <c r="AA354" s="287">
        <v>6124645.6975985002</v>
      </c>
      <c r="AB354" s="287">
        <v>49871233.855238102</v>
      </c>
    </row>
    <row r="355" spans="10:28" ht="15" customHeight="1" x14ac:dyDescent="0.2">
      <c r="J355" s="286" t="str">
        <f xml:space="preserve"> _xll.EPMOlapMemberO("[COSTCENTER].[PARENTH1].[1001]","","1001","","000")</f>
        <v>1001</v>
      </c>
      <c r="K355" s="300" t="str">
        <f xml:space="preserve"> _xll.EPMOlapMemberO("[C_ACCOUNT].[PARENTH1].[ACC_UNB_REV]","","Acc_Unb_Rev","","000")</f>
        <v>Acc_Unb_Rev</v>
      </c>
      <c r="L355" s="286" t="str">
        <f>_xll.EPMMemberDesc(K355)</f>
        <v>Accrued Unbilled Revenue</v>
      </c>
      <c r="M355" s="287">
        <v>0</v>
      </c>
      <c r="N355" s="287">
        <v>0</v>
      </c>
      <c r="O355" s="287">
        <v>0</v>
      </c>
      <c r="P355" s="287">
        <v>-2217570</v>
      </c>
      <c r="Q355" s="287">
        <v>-4249428</v>
      </c>
      <c r="R355" s="287">
        <v>2436936</v>
      </c>
      <c r="S355" s="287">
        <v>4087924</v>
      </c>
      <c r="T355" s="287">
        <v>8851659</v>
      </c>
      <c r="U355" s="287">
        <v>2230005</v>
      </c>
      <c r="V355" s="287">
        <v>1850801</v>
      </c>
      <c r="W355" s="287">
        <v>3965990</v>
      </c>
      <c r="X355" s="287">
        <v>-6757982</v>
      </c>
      <c r="Y355" s="287">
        <v>-5311746</v>
      </c>
      <c r="Z355" s="287">
        <v>-6704782</v>
      </c>
      <c r="AA355" s="287">
        <v>1788658</v>
      </c>
      <c r="AB355" s="287">
        <v>-29535</v>
      </c>
    </row>
    <row r="356" spans="10:28" ht="15" customHeight="1" x14ac:dyDescent="0.25">
      <c r="J356" s="291" t="str">
        <f xml:space="preserve"> _xll.EPMOlapMemberO("[COSTCENTER].[PARENTH1].[1001]","","1001","","000")</f>
        <v>1001</v>
      </c>
      <c r="K356" s="301" t="str">
        <f xml:space="preserve"> _xll.EPMOlapMemberO("[C_ACCOUNT].[PARENTH1].[A_4560900]","","A_4560900","","000")</f>
        <v>A_4560900</v>
      </c>
      <c r="L356" s="293" t="str">
        <f>_xll.EPMMemberDesc(K356)</f>
        <v>Unbilled Revenue</v>
      </c>
      <c r="M356" s="293">
        <v>0</v>
      </c>
      <c r="N356" s="293">
        <v>0</v>
      </c>
      <c r="O356" s="293">
        <v>0</v>
      </c>
      <c r="P356" s="293">
        <v>-2217570</v>
      </c>
      <c r="Q356" s="293">
        <v>-4249428</v>
      </c>
      <c r="R356" s="293">
        <v>2436936</v>
      </c>
      <c r="S356" s="293">
        <v>4087924</v>
      </c>
      <c r="T356" s="293">
        <v>8851659</v>
      </c>
      <c r="U356" s="293">
        <v>2230005</v>
      </c>
      <c r="V356" s="293">
        <v>1850801</v>
      </c>
      <c r="W356" s="293">
        <v>3965990</v>
      </c>
      <c r="X356" s="293">
        <v>-6757982</v>
      </c>
      <c r="Y356" s="293">
        <v>-5311746</v>
      </c>
      <c r="Z356" s="293">
        <v>-6704782</v>
      </c>
      <c r="AA356" s="293">
        <v>1788658</v>
      </c>
      <c r="AB356" s="293">
        <v>-29535</v>
      </c>
    </row>
    <row r="357" spans="10:28" ht="15" customHeight="1" x14ac:dyDescent="0.2">
      <c r="J357" s="286" t="str">
        <f xml:space="preserve"> _xll.EPMOlapMemberO("[COSTCENTER].[PARENTH1].[1001]","","1001","","000")</f>
        <v>1001</v>
      </c>
      <c r="K357" s="300" t="str">
        <f xml:space="preserve"> _xll.EPMOlapMemberO("[C_ACCOUNT].[PARENTH1].[INTERCHANGE_SALES]","","INTERCHANGE_SALES","","000")</f>
        <v>INTERCHANGE_SALES</v>
      </c>
      <c r="L357" s="286" t="str">
        <f>_xll.EPMMemberDesc(K357)</f>
        <v>Interchange Sales</v>
      </c>
      <c r="M357" s="287">
        <v>0</v>
      </c>
      <c r="N357" s="287">
        <v>0</v>
      </c>
      <c r="O357" s="287">
        <v>0</v>
      </c>
      <c r="P357" s="287">
        <v>151224</v>
      </c>
      <c r="Q357" s="287">
        <v>147265</v>
      </c>
      <c r="R357" s="287">
        <v>158045</v>
      </c>
      <c r="S357" s="287">
        <v>155097</v>
      </c>
      <c r="T357" s="287">
        <v>164080</v>
      </c>
      <c r="U357" s="287">
        <v>169190</v>
      </c>
      <c r="V357" s="287">
        <v>157163</v>
      </c>
      <c r="W357" s="287">
        <v>157754</v>
      </c>
      <c r="X357" s="287">
        <v>162864</v>
      </c>
      <c r="Y357" s="287">
        <v>149094</v>
      </c>
      <c r="Z357" s="287">
        <v>148632</v>
      </c>
      <c r="AA357" s="287">
        <v>149364</v>
      </c>
      <c r="AB357" s="287">
        <v>1869772</v>
      </c>
    </row>
    <row r="358" spans="10:28" ht="15" customHeight="1" x14ac:dyDescent="0.25">
      <c r="J358" s="291" t="str">
        <f xml:space="preserve"> _xll.EPMOlapMemberO("[COSTCENTER].[PARENTH1].[1001]","","1001","","000")</f>
        <v>1001</v>
      </c>
      <c r="K358" s="301" t="str">
        <f xml:space="preserve"> _xll.EPMOlapMemberO("[C_ACCOUNT].[PARENTH1].[A_4470010]","","A_4470010","","000")</f>
        <v>A_4470010</v>
      </c>
      <c r="L358" s="293" t="str">
        <f>_xll.EPMMemberDesc(K358)</f>
        <v>Recoverable Retail Non-Separated Sales for Resale</v>
      </c>
      <c r="M358" s="293">
        <v>0</v>
      </c>
      <c r="N358" s="293">
        <v>0</v>
      </c>
      <c r="O358" s="293">
        <v>0</v>
      </c>
      <c r="P358" s="293">
        <v>145397</v>
      </c>
      <c r="Q358" s="293">
        <v>141717</v>
      </c>
      <c r="R358" s="293">
        <v>151737</v>
      </c>
      <c r="S358" s="293">
        <v>148997</v>
      </c>
      <c r="T358" s="293">
        <v>157347</v>
      </c>
      <c r="U358" s="293">
        <v>162097</v>
      </c>
      <c r="V358" s="293">
        <v>150917</v>
      </c>
      <c r="W358" s="293">
        <v>151467</v>
      </c>
      <c r="X358" s="293">
        <v>156217</v>
      </c>
      <c r="Y358" s="293">
        <v>143417</v>
      </c>
      <c r="Z358" s="293">
        <v>142987</v>
      </c>
      <c r="AA358" s="293">
        <v>143668</v>
      </c>
      <c r="AB358" s="293">
        <v>1795965</v>
      </c>
    </row>
    <row r="359" spans="10:28" ht="15" customHeight="1" x14ac:dyDescent="0.25">
      <c r="J359" s="291" t="str">
        <f xml:space="preserve"> _xll.EPMOlapMemberO("[COSTCENTER].[PARENTH1].[1001]","","1001","","000")</f>
        <v>1001</v>
      </c>
      <c r="K359" s="301" t="str">
        <f xml:space="preserve"> _xll.EPMOlapMemberO("[C_ACCOUNT].[PARENTH1].[A_4470012]","","A_4470012","","000")</f>
        <v>A_4470012</v>
      </c>
      <c r="L359" s="293" t="str">
        <f>_xll.EPMMemberDesc(K359)</f>
        <v>Recoverable Retail Non-Separated Sales for Resale-Margin</v>
      </c>
      <c r="M359" s="293">
        <v>0</v>
      </c>
      <c r="N359" s="293">
        <v>0</v>
      </c>
      <c r="O359" s="293">
        <v>0</v>
      </c>
      <c r="P359" s="293">
        <v>5827</v>
      </c>
      <c r="Q359" s="293">
        <v>5548</v>
      </c>
      <c r="R359" s="293">
        <v>6308</v>
      </c>
      <c r="S359" s="293">
        <v>6100</v>
      </c>
      <c r="T359" s="293">
        <v>6733</v>
      </c>
      <c r="U359" s="293">
        <v>7093</v>
      </c>
      <c r="V359" s="293">
        <v>6246</v>
      </c>
      <c r="W359" s="293">
        <v>6287</v>
      </c>
      <c r="X359" s="293">
        <v>6647</v>
      </c>
      <c r="Y359" s="293">
        <v>5677</v>
      </c>
      <c r="Z359" s="293">
        <v>5645</v>
      </c>
      <c r="AA359" s="293">
        <v>5696</v>
      </c>
      <c r="AB359" s="293">
        <v>73807</v>
      </c>
    </row>
    <row r="360" spans="10:28" ht="15" customHeight="1" x14ac:dyDescent="0.2">
      <c r="J360" s="286" t="str">
        <f xml:space="preserve"> _xll.EPMOlapMemberO("[COSTCENTER].[PARENTH1].[1001]","","1001","","000")</f>
        <v>1001</v>
      </c>
      <c r="K360" s="300" t="str">
        <f xml:space="preserve"> _xll.EPMOlapMemberO("[C_ACCOUNT].[PARENTH1].[MISC_SERV_REV]","","MISC_SERV_REV","","000")</f>
        <v>MISC_SERV_REV</v>
      </c>
      <c r="L360" s="286" t="str">
        <f>_xll.EPMMemberDesc(K360)</f>
        <v>Miscellaneous Service Revenues</v>
      </c>
      <c r="M360" s="287">
        <v>0</v>
      </c>
      <c r="N360" s="287">
        <v>0</v>
      </c>
      <c r="O360" s="287">
        <v>0</v>
      </c>
      <c r="P360" s="287">
        <v>2100320.3175641</v>
      </c>
      <c r="Q360" s="287">
        <v>2104405.8145896001</v>
      </c>
      <c r="R360" s="287">
        <v>1978756.9123104</v>
      </c>
      <c r="S360" s="287">
        <v>1878330.2855334999</v>
      </c>
      <c r="T360" s="287">
        <v>1842550.2114748</v>
      </c>
      <c r="U360" s="287">
        <v>2197149.2333892002</v>
      </c>
      <c r="V360" s="287">
        <v>2298362.2815525001</v>
      </c>
      <c r="W360" s="287">
        <v>2326234.6635513999</v>
      </c>
      <c r="X360" s="287">
        <v>2373361.1332077002</v>
      </c>
      <c r="Y360" s="287">
        <v>2074595.9828441001</v>
      </c>
      <c r="Z360" s="287">
        <v>1976869.1478565</v>
      </c>
      <c r="AA360" s="287">
        <v>2302049.8214909001</v>
      </c>
      <c r="AB360" s="287">
        <v>25452985.805364698</v>
      </c>
    </row>
    <row r="361" spans="10:28" ht="15" customHeight="1" x14ac:dyDescent="0.25">
      <c r="J361" s="291" t="str">
        <f xml:space="preserve"> _xll.EPMOlapMemberO("[COSTCENTER].[PARENTH1].[1001]","","1001","","000")</f>
        <v>1001</v>
      </c>
      <c r="K361" s="301" t="str">
        <f xml:space="preserve"> _xll.EPMOlapMemberO("[C_ACCOUNT].[PARENTH1].[A_4510800]","","A_4510800","","000")</f>
        <v>A_4510800</v>
      </c>
      <c r="L361" s="293" t="str">
        <f>_xll.EPMMemberDesc(K361)</f>
        <v>Miscellaneous Service Revenues - Other</v>
      </c>
      <c r="M361" s="293">
        <v>0</v>
      </c>
      <c r="N361" s="293">
        <v>0</v>
      </c>
      <c r="O361" s="293">
        <v>0</v>
      </c>
      <c r="P361" s="293">
        <v>13715.874984100001</v>
      </c>
      <c r="Q361" s="293">
        <v>15404.644889900001</v>
      </c>
      <c r="R361" s="293">
        <v>7254.71569</v>
      </c>
      <c r="S361" s="293">
        <v>5563.6867371999997</v>
      </c>
      <c r="T361" s="293">
        <v>6461.3119324999998</v>
      </c>
      <c r="U361" s="293">
        <v>6650.0746419999996</v>
      </c>
      <c r="V361" s="293">
        <v>8212.4521698999997</v>
      </c>
      <c r="W361" s="293">
        <v>8294.5766915000004</v>
      </c>
      <c r="X361" s="293">
        <v>8377.5224584000007</v>
      </c>
      <c r="Y361" s="293">
        <v>8461.2976830000007</v>
      </c>
      <c r="Z361" s="293">
        <v>8545.9106599000006</v>
      </c>
      <c r="AA361" s="293">
        <v>8631.3697663999992</v>
      </c>
      <c r="AB361" s="293">
        <v>105573.4383048</v>
      </c>
    </row>
    <row r="362" spans="10:28" ht="15" customHeight="1" x14ac:dyDescent="0.25">
      <c r="J362" s="291" t="str">
        <f xml:space="preserve"> _xll.EPMOlapMemberO("[COSTCENTER].[PARENTH1].[1001]","","1001","","000")</f>
        <v>1001</v>
      </c>
      <c r="K362" s="301" t="str">
        <f xml:space="preserve"> _xll.EPMOlapMemberO("[C_ACCOUNT].[PARENTH1].[A_4510100]","","A_4510100","","000")</f>
        <v>A_4510100</v>
      </c>
      <c r="L362" s="293" t="str">
        <f>_xll.EPMMemberDesc(K362)</f>
        <v>Misc Svc Rev - Connection - Same Day Service</v>
      </c>
      <c r="M362" s="293">
        <v>0</v>
      </c>
      <c r="N362" s="293">
        <v>0</v>
      </c>
      <c r="O362" s="293">
        <v>0</v>
      </c>
      <c r="P362" s="293">
        <v>46460.064654499998</v>
      </c>
      <c r="Q362" s="293">
        <v>41728.021032299999</v>
      </c>
      <c r="R362" s="293">
        <v>30199.042025399998</v>
      </c>
      <c r="S362" s="293">
        <v>13077.647828700001</v>
      </c>
      <c r="T362" s="293">
        <v>15400.6510614</v>
      </c>
      <c r="U362" s="293">
        <v>17551.5799806</v>
      </c>
      <c r="V362" s="293">
        <v>44094.616424400003</v>
      </c>
      <c r="W362" s="293">
        <v>44094.616424400003</v>
      </c>
      <c r="X362" s="293">
        <v>53058.705217399998</v>
      </c>
      <c r="Y362" s="293">
        <v>53323.9987434</v>
      </c>
      <c r="Z362" s="293">
        <v>53590.618737199999</v>
      </c>
      <c r="AA362" s="293">
        <v>53858.5718308</v>
      </c>
      <c r="AB362" s="293">
        <v>466438.13396050001</v>
      </c>
    </row>
    <row r="363" spans="10:28" ht="15" customHeight="1" x14ac:dyDescent="0.25">
      <c r="J363" s="291" t="str">
        <f xml:space="preserve"> _xll.EPMOlapMemberO("[COSTCENTER].[PARENTH1].[1001]","","1001","","000")</f>
        <v>1001</v>
      </c>
      <c r="K363" s="301" t="str">
        <f xml:space="preserve"> _xll.EPMOlapMemberO("[C_ACCOUNT].[PARENTH1].[A_4510101]","","A_4510101","","000")</f>
        <v>A_4510101</v>
      </c>
      <c r="L363" s="293" t="str">
        <f>_xll.EPMMemberDesc(K363)</f>
        <v>Misc Svc Rev - Connection - Saturday</v>
      </c>
      <c r="M363" s="293">
        <v>0</v>
      </c>
      <c r="N363" s="293">
        <v>0</v>
      </c>
      <c r="O363" s="293">
        <v>0</v>
      </c>
      <c r="P363" s="293">
        <v>0</v>
      </c>
      <c r="Q363" s="293">
        <v>0</v>
      </c>
      <c r="R363" s="293">
        <v>300</v>
      </c>
      <c r="S363" s="293">
        <v>0</v>
      </c>
      <c r="T363" s="293">
        <v>0</v>
      </c>
      <c r="U363" s="293">
        <v>0</v>
      </c>
      <c r="V363" s="293">
        <v>0</v>
      </c>
      <c r="W363" s="293">
        <v>0</v>
      </c>
      <c r="X363" s="293">
        <v>300</v>
      </c>
      <c r="Y363" s="293">
        <v>0</v>
      </c>
      <c r="Z363" s="293">
        <v>0</v>
      </c>
      <c r="AA363" s="293">
        <v>0</v>
      </c>
      <c r="AB363" s="293">
        <v>600</v>
      </c>
    </row>
    <row r="364" spans="10:28" ht="15" customHeight="1" x14ac:dyDescent="0.25">
      <c r="J364" s="291" t="str">
        <f xml:space="preserve"> _xll.EPMOlapMemberO("[COSTCENTER].[PARENTH1].[1001]","","1001","","000")</f>
        <v>1001</v>
      </c>
      <c r="K364" s="301" t="str">
        <f xml:space="preserve"> _xll.EPMOlapMemberO("[C_ACCOUNT].[PARENTH1].[A_4510102]","","A_4510102","","000")</f>
        <v>A_4510102</v>
      </c>
      <c r="L364" s="293" t="str">
        <f>_xll.EPMMemberDesc(K364)</f>
        <v>Misc Svc Rev - Reconnect - at Pole</v>
      </c>
      <c r="M364" s="293">
        <v>0</v>
      </c>
      <c r="N364" s="293">
        <v>0</v>
      </c>
      <c r="O364" s="293">
        <v>0</v>
      </c>
      <c r="P364" s="293">
        <v>3333.3333333</v>
      </c>
      <c r="Q364" s="293">
        <v>3333.3333333</v>
      </c>
      <c r="R364" s="293">
        <v>3333.3333333</v>
      </c>
      <c r="S364" s="293">
        <v>3333.3333333</v>
      </c>
      <c r="T364" s="293">
        <v>3333.3333333</v>
      </c>
      <c r="U364" s="293">
        <v>3333.3333333</v>
      </c>
      <c r="V364" s="293">
        <v>3333.3333333</v>
      </c>
      <c r="W364" s="293">
        <v>3333.3333333</v>
      </c>
      <c r="X364" s="293">
        <v>3333.3333333</v>
      </c>
      <c r="Y364" s="293">
        <v>3333.3333333</v>
      </c>
      <c r="Z364" s="293">
        <v>3333.3333333</v>
      </c>
      <c r="AA364" s="293">
        <v>3333.3333333</v>
      </c>
      <c r="AB364" s="293">
        <v>39999.999999599997</v>
      </c>
    </row>
    <row r="365" spans="10:28" ht="15" customHeight="1" x14ac:dyDescent="0.25">
      <c r="J365" s="291" t="str">
        <f xml:space="preserve"> _xll.EPMOlapMemberO("[COSTCENTER].[PARENTH1].[1001]","","1001","","000")</f>
        <v>1001</v>
      </c>
      <c r="K365" s="301" t="str">
        <f xml:space="preserve"> _xll.EPMOlapMemberO("[C_ACCOUNT].[PARENTH1].[A_4510103]","","A_4510103","","000")</f>
        <v>A_4510103</v>
      </c>
      <c r="L365" s="293" t="str">
        <f>_xll.EPMMemberDesc(K365)</f>
        <v>Misc Svc Rev - Reconnect - Subsequent Subscriber</v>
      </c>
      <c r="M365" s="293">
        <v>0</v>
      </c>
      <c r="N365" s="293">
        <v>0</v>
      </c>
      <c r="O365" s="293">
        <v>0</v>
      </c>
      <c r="P365" s="293">
        <v>381172.4571224</v>
      </c>
      <c r="Q365" s="293">
        <v>370886.6702318</v>
      </c>
      <c r="R365" s="293">
        <v>403909.36813939997</v>
      </c>
      <c r="S365" s="293">
        <v>330227.8949057</v>
      </c>
      <c r="T365" s="293">
        <v>363421.639303</v>
      </c>
      <c r="U365" s="293">
        <v>443286.0732478</v>
      </c>
      <c r="V365" s="293">
        <v>445172.93779910001</v>
      </c>
      <c r="W365" s="293">
        <v>449624.66717710003</v>
      </c>
      <c r="X365" s="293">
        <v>454120.9138489</v>
      </c>
      <c r="Y365" s="293">
        <v>458662.12298739998</v>
      </c>
      <c r="Z365" s="293">
        <v>463248.74421719997</v>
      </c>
      <c r="AA365" s="293">
        <v>467881.23165939999</v>
      </c>
      <c r="AB365" s="293">
        <v>5031614.7206391999</v>
      </c>
    </row>
    <row r="366" spans="10:28" ht="15" customHeight="1" x14ac:dyDescent="0.25">
      <c r="J366" s="291" t="str">
        <f xml:space="preserve"> _xll.EPMOlapMemberO("[COSTCENTER].[PARENTH1].[1001]","","1001","","000")</f>
        <v>1001</v>
      </c>
      <c r="K366" s="301" t="str">
        <f xml:space="preserve"> _xll.EPMOlapMemberO("[C_ACCOUNT].[PARENTH1].[A_4510104]","","A_4510104","","000")</f>
        <v>A_4510104</v>
      </c>
      <c r="L366" s="293" t="str">
        <f>_xll.EPMMemberDesc(K366)</f>
        <v>Misc Svc Rev - Reconnect - at Meter</v>
      </c>
      <c r="M366" s="293">
        <v>0</v>
      </c>
      <c r="N366" s="293">
        <v>0</v>
      </c>
      <c r="O366" s="293">
        <v>0</v>
      </c>
      <c r="P366" s="293">
        <v>455812.02850000001</v>
      </c>
      <c r="Q366" s="293">
        <v>455812.02850000001</v>
      </c>
      <c r="R366" s="293">
        <v>455812.02850000001</v>
      </c>
      <c r="S366" s="293">
        <v>455812.02850000001</v>
      </c>
      <c r="T366" s="293">
        <v>455812.02850000001</v>
      </c>
      <c r="U366" s="293">
        <v>455812.02850000001</v>
      </c>
      <c r="V366" s="293">
        <v>463500</v>
      </c>
      <c r="W366" s="293">
        <v>463500</v>
      </c>
      <c r="X366" s="293">
        <v>470993.25</v>
      </c>
      <c r="Y366" s="293">
        <v>432600</v>
      </c>
      <c r="Z366" s="293">
        <v>309000</v>
      </c>
      <c r="AA366" s="293">
        <v>309000</v>
      </c>
      <c r="AB366" s="293">
        <v>5183465.4210000001</v>
      </c>
    </row>
    <row r="367" spans="10:28" ht="15" customHeight="1" x14ac:dyDescent="0.25">
      <c r="J367" s="291" t="str">
        <f xml:space="preserve"> _xll.EPMOlapMemberO("[COSTCENTER].[PARENTH1].[1001]","","1001","","000")</f>
        <v>1001</v>
      </c>
      <c r="K367" s="301" t="str">
        <f xml:space="preserve"> _xll.EPMOlapMemberO("[C_ACCOUNT].[PARENTH1].[A_4510107]","","A_4510107","","000")</f>
        <v>A_4510107</v>
      </c>
      <c r="L367" s="293" t="str">
        <f>_xll.EPMMemberDesc(K367)</f>
        <v>Misc Svc Rev - Late Payment Fee</v>
      </c>
      <c r="M367" s="293">
        <v>0</v>
      </c>
      <c r="N367" s="293">
        <v>0</v>
      </c>
      <c r="O367" s="293">
        <v>0</v>
      </c>
      <c r="P367" s="293">
        <v>968000</v>
      </c>
      <c r="Q367" s="293">
        <v>987360</v>
      </c>
      <c r="R367" s="293">
        <v>856041.12</v>
      </c>
      <c r="S367" s="293">
        <v>821799.47519999999</v>
      </c>
      <c r="T367" s="293">
        <v>785845.74815999996</v>
      </c>
      <c r="U367" s="293">
        <v>1068750.2174976</v>
      </c>
      <c r="V367" s="293">
        <v>1090125.2218476001</v>
      </c>
      <c r="W367" s="293">
        <v>1111927.7262845</v>
      </c>
      <c r="X367" s="293">
        <v>1134166.2808101999</v>
      </c>
      <c r="Y367" s="293">
        <v>867637.20481979998</v>
      </c>
      <c r="Z367" s="293">
        <v>884989.94891619997</v>
      </c>
      <c r="AA367" s="293">
        <v>1203586.3305259999</v>
      </c>
      <c r="AB367" s="293">
        <v>11780229.2740619</v>
      </c>
    </row>
    <row r="368" spans="10:28" ht="15" customHeight="1" x14ac:dyDescent="0.25">
      <c r="J368" s="291" t="str">
        <f xml:space="preserve"> _xll.EPMOlapMemberO("[COSTCENTER].[PARENTH1].[1001]","","1001","","000")</f>
        <v>1001</v>
      </c>
      <c r="K368" s="301" t="str">
        <f xml:space="preserve"> _xll.EPMOlapMemberO("[C_ACCOUNT].[PARENTH1].[A_4510108]","","A_4510108","","000")</f>
        <v>A_4510108</v>
      </c>
      <c r="L368" s="293" t="str">
        <f>_xll.EPMMemberDesc(K368)</f>
        <v>Misc Svc Rev - Initial Turn On</v>
      </c>
      <c r="M368" s="293">
        <v>0</v>
      </c>
      <c r="N368" s="293">
        <v>0</v>
      </c>
      <c r="O368" s="293">
        <v>0</v>
      </c>
      <c r="P368" s="293">
        <v>86207.064503600006</v>
      </c>
      <c r="Q368" s="293">
        <v>115311.1197921</v>
      </c>
      <c r="R368" s="293">
        <v>113336.99765439999</v>
      </c>
      <c r="S368" s="293">
        <v>133946.22221840001</v>
      </c>
      <c r="T368" s="293">
        <v>108704.933752</v>
      </c>
      <c r="U368" s="293">
        <v>89195.722605899995</v>
      </c>
      <c r="V368" s="293">
        <v>113559.3936176</v>
      </c>
      <c r="W368" s="293">
        <v>114694.98755390001</v>
      </c>
      <c r="X368" s="293">
        <v>115841.9374294</v>
      </c>
      <c r="Y368" s="293">
        <v>117000.35680360001</v>
      </c>
      <c r="Z368" s="293">
        <v>118170.36037179999</v>
      </c>
      <c r="AA368" s="293">
        <v>119352.0639755</v>
      </c>
      <c r="AB368" s="293">
        <v>1345321.1602781999</v>
      </c>
    </row>
    <row r="369" spans="10:28" ht="15" customHeight="1" x14ac:dyDescent="0.25">
      <c r="J369" s="291" t="str">
        <f xml:space="preserve"> _xll.EPMOlapMemberO("[COSTCENTER].[PARENTH1].[1001]","","1001","","000")</f>
        <v>1001</v>
      </c>
      <c r="K369" s="301" t="str">
        <f xml:space="preserve"> _xll.EPMOlapMemberO("[C_ACCOUNT].[PARENTH1].[A_4510109]","","A_4510109","","000")</f>
        <v>A_4510109</v>
      </c>
      <c r="L369" s="293" t="str">
        <f>_xll.EPMMemberDesc(K369)</f>
        <v>Misc Svc Rev - Temp. Svcs</v>
      </c>
      <c r="M369" s="293">
        <v>0</v>
      </c>
      <c r="N369" s="293">
        <v>0</v>
      </c>
      <c r="O369" s="293">
        <v>0</v>
      </c>
      <c r="P369" s="293">
        <v>30998.3975187</v>
      </c>
      <c r="Q369" s="293">
        <v>26248.6430602</v>
      </c>
      <c r="R369" s="293">
        <v>20248.953217900002</v>
      </c>
      <c r="S369" s="293">
        <v>26248.6430602</v>
      </c>
      <c r="T369" s="293">
        <v>15249.2116826</v>
      </c>
      <c r="U369" s="293">
        <v>22248.849832</v>
      </c>
      <c r="V369" s="293">
        <v>40042.972610600002</v>
      </c>
      <c r="W369" s="293">
        <v>40443.402336699997</v>
      </c>
      <c r="X369" s="293">
        <v>40847.836360100002</v>
      </c>
      <c r="Y369" s="293">
        <v>41256.3147236</v>
      </c>
      <c r="Z369" s="293">
        <v>41668.877870900003</v>
      </c>
      <c r="AA369" s="293">
        <v>42085.566649499997</v>
      </c>
      <c r="AB369" s="293">
        <v>387587.66892299999</v>
      </c>
    </row>
    <row r="370" spans="10:28" ht="15" customHeight="1" x14ac:dyDescent="0.25">
      <c r="J370" s="291" t="str">
        <f xml:space="preserve"> _xll.EPMOlapMemberO("[COSTCENTER].[PARENTH1].[1001]","","1001","","000")</f>
        <v>1001</v>
      </c>
      <c r="K370" s="301" t="str">
        <f xml:space="preserve"> _xll.EPMOlapMemberO("[C_ACCOUNT].[PARENTH1].[A_4510110]","","A_4510110","","000")</f>
        <v>A_4510110</v>
      </c>
      <c r="L370" s="293" t="str">
        <f>_xll.EPMMemberDesc(K370)</f>
        <v>Misc Svc Rev - Tampering</v>
      </c>
      <c r="M370" s="293">
        <v>0</v>
      </c>
      <c r="N370" s="293">
        <v>0</v>
      </c>
      <c r="O370" s="293">
        <v>0</v>
      </c>
      <c r="P370" s="293">
        <v>2000</v>
      </c>
      <c r="Q370" s="293">
        <v>2000</v>
      </c>
      <c r="R370" s="293">
        <v>2000</v>
      </c>
      <c r="S370" s="293">
        <v>2000</v>
      </c>
      <c r="T370" s="293">
        <v>2000</v>
      </c>
      <c r="U370" s="293">
        <v>4000</v>
      </c>
      <c r="V370" s="293">
        <v>4000</v>
      </c>
      <c r="W370" s="293">
        <v>4000</v>
      </c>
      <c r="X370" s="293">
        <v>6000</v>
      </c>
      <c r="Y370" s="293">
        <v>6000</v>
      </c>
      <c r="Z370" s="293">
        <v>8000</v>
      </c>
      <c r="AA370" s="293">
        <v>8000</v>
      </c>
      <c r="AB370" s="293">
        <v>50000</v>
      </c>
    </row>
    <row r="371" spans="10:28" ht="15" customHeight="1" x14ac:dyDescent="0.25">
      <c r="J371" s="291" t="str">
        <f xml:space="preserve"> _xll.EPMOlapMemberO("[COSTCENTER].[PARENTH1].[1001]","","1001","","000")</f>
        <v>1001</v>
      </c>
      <c r="K371" s="301" t="str">
        <f xml:space="preserve"> _xll.EPMOlapMemberO("[C_ACCOUNT].[PARENTH1].[A_4510111]","","A_4510111","","000")</f>
        <v>A_4510111</v>
      </c>
      <c r="L371" s="293" t="str">
        <f>_xll.EPMMemberDesc(K371)</f>
        <v>Misc Svc Rev - Returned Check</v>
      </c>
      <c r="M371" s="293">
        <v>0</v>
      </c>
      <c r="N371" s="293">
        <v>0</v>
      </c>
      <c r="O371" s="293">
        <v>0</v>
      </c>
      <c r="P371" s="293">
        <v>86871.096947500002</v>
      </c>
      <c r="Q371" s="293">
        <v>60571.353750000002</v>
      </c>
      <c r="R371" s="293">
        <v>60571.353750000002</v>
      </c>
      <c r="S371" s="293">
        <v>60571.353750000002</v>
      </c>
      <c r="T371" s="293">
        <v>60571.353750000002</v>
      </c>
      <c r="U371" s="293">
        <v>60571.353750000002</v>
      </c>
      <c r="V371" s="293">
        <v>60571.353750000002</v>
      </c>
      <c r="W371" s="293">
        <v>60571.353750000002</v>
      </c>
      <c r="X371" s="293">
        <v>60571.353750000002</v>
      </c>
      <c r="Y371" s="293">
        <v>60571.353750000002</v>
      </c>
      <c r="Z371" s="293">
        <v>60571.353750000002</v>
      </c>
      <c r="AA371" s="293">
        <v>60571.353750000002</v>
      </c>
      <c r="AB371" s="293">
        <v>753155.9881975</v>
      </c>
    </row>
    <row r="372" spans="10:28" ht="15" customHeight="1" x14ac:dyDescent="0.25">
      <c r="J372" s="291" t="str">
        <f xml:space="preserve"> _xll.EPMOlapMemberO("[COSTCENTER].[PARENTH1].[1001]","","1001","","000")</f>
        <v>1001</v>
      </c>
      <c r="K372" s="301" t="str">
        <f xml:space="preserve"> _xll.EPMOlapMemberO("[C_ACCOUNT].[PARENTH1].[A_4510112]","","A_4510112","","000")</f>
        <v>A_4510112</v>
      </c>
      <c r="L372" s="293" t="str">
        <f>_xll.EPMMemberDesc(K372)</f>
        <v>Misc Svc Rev - Field Credit Check</v>
      </c>
      <c r="M372" s="293">
        <v>0</v>
      </c>
      <c r="N372" s="293">
        <v>0</v>
      </c>
      <c r="O372" s="293">
        <v>0</v>
      </c>
      <c r="P372" s="293">
        <v>25750</v>
      </c>
      <c r="Q372" s="293">
        <v>25750</v>
      </c>
      <c r="R372" s="293">
        <v>25750</v>
      </c>
      <c r="S372" s="293">
        <v>25750</v>
      </c>
      <c r="T372" s="293">
        <v>25750</v>
      </c>
      <c r="U372" s="293">
        <v>25750</v>
      </c>
      <c r="V372" s="293">
        <v>25750</v>
      </c>
      <c r="W372" s="293">
        <v>25750</v>
      </c>
      <c r="X372" s="293">
        <v>25750</v>
      </c>
      <c r="Y372" s="293">
        <v>25750</v>
      </c>
      <c r="Z372" s="293">
        <v>25750</v>
      </c>
      <c r="AA372" s="293">
        <v>25750</v>
      </c>
      <c r="AB372" s="293">
        <v>309000</v>
      </c>
    </row>
    <row r="373" spans="10:28" ht="15" customHeight="1" x14ac:dyDescent="0.2">
      <c r="J373" s="286" t="str">
        <f xml:space="preserve"> _xll.EPMOlapMemberO("[COSTCENTER].[PARENTH1].[1001]","","1001","","000")</f>
        <v>1001</v>
      </c>
      <c r="K373" s="300" t="str">
        <f xml:space="preserve"> _xll.EPMOlapMemberO("[C_ACCOUNT].[PARENTH1].[RENT_ELEC_PROP]","","RENT_ELEC_PROP","","000")</f>
        <v>RENT_ELEC_PROP</v>
      </c>
      <c r="L373" s="286" t="str">
        <f>_xll.EPMMemberDesc(K373)</f>
        <v>Rent from Electric Property</v>
      </c>
      <c r="M373" s="287">
        <v>0</v>
      </c>
      <c r="N373" s="287">
        <v>0</v>
      </c>
      <c r="O373" s="287">
        <v>0</v>
      </c>
      <c r="P373" s="287">
        <v>1452247.5674421</v>
      </c>
      <c r="Q373" s="287">
        <v>1077045.8215661999</v>
      </c>
      <c r="R373" s="287">
        <v>1056721.8235925999</v>
      </c>
      <c r="S373" s="287">
        <v>1135374.5728867999</v>
      </c>
      <c r="T373" s="287">
        <v>1014045.4482615</v>
      </c>
      <c r="U373" s="287">
        <v>1053387.6760646</v>
      </c>
      <c r="V373" s="287">
        <v>1044871.314086</v>
      </c>
      <c r="W373" s="287">
        <v>1214901.7864180999</v>
      </c>
      <c r="X373" s="287">
        <v>1076208.8238343</v>
      </c>
      <c r="Y373" s="287">
        <v>1182076.8023357999</v>
      </c>
      <c r="Z373" s="287">
        <v>1040816.3462248</v>
      </c>
      <c r="AA373" s="287">
        <v>1051457.9127233</v>
      </c>
      <c r="AB373" s="287">
        <v>13399155.895436101</v>
      </c>
    </row>
    <row r="374" spans="10:28" ht="15" customHeight="1" x14ac:dyDescent="0.25">
      <c r="J374" s="291" t="str">
        <f xml:space="preserve"> _xll.EPMOlapMemberO("[COSTCENTER].[PARENTH1].[1001]","","1001","","000")</f>
        <v>1001</v>
      </c>
      <c r="K374" s="301" t="str">
        <f xml:space="preserve"> _xll.EPMOlapMemberO("[C_ACCOUNT].[PARENTH1].[A_4540010]","","A_4540010","","000")</f>
        <v>A_4540010</v>
      </c>
      <c r="L374" s="293" t="str">
        <f>_xll.EPMMemberDesc(K374)</f>
        <v>Rental Revenue - Commercial Property</v>
      </c>
      <c r="M374" s="293">
        <v>0</v>
      </c>
      <c r="N374" s="293">
        <v>0</v>
      </c>
      <c r="O374" s="293">
        <v>0</v>
      </c>
      <c r="P374" s="293">
        <v>431401.26</v>
      </c>
      <c r="Q374" s="293">
        <v>10698.94</v>
      </c>
      <c r="R374" s="293">
        <v>16002.84</v>
      </c>
      <c r="S374" s="293">
        <v>58346.09</v>
      </c>
      <c r="T374" s="293">
        <v>1829.82</v>
      </c>
      <c r="U374" s="293">
        <v>6270.55</v>
      </c>
      <c r="V374" s="293">
        <v>21806.78</v>
      </c>
      <c r="W374" s="293">
        <v>22456.71</v>
      </c>
      <c r="X374" s="293">
        <v>5279.32</v>
      </c>
      <c r="Y374" s="293">
        <v>38822.370000000003</v>
      </c>
      <c r="Z374" s="293">
        <v>21368.97</v>
      </c>
      <c r="AA374" s="293">
        <v>3050</v>
      </c>
      <c r="AB374" s="293">
        <v>637333.65</v>
      </c>
    </row>
    <row r="375" spans="10:28" ht="15" customHeight="1" x14ac:dyDescent="0.25">
      <c r="J375" s="291" t="str">
        <f xml:space="preserve"> _xll.EPMOlapMemberO("[COSTCENTER].[PARENTH1].[1001]","","1001","","000")</f>
        <v>1001</v>
      </c>
      <c r="K375" s="301" t="str">
        <f xml:space="preserve"> _xll.EPMOlapMemberO("[C_ACCOUNT].[PARENTH1].[A_4540020]","","A_4540020","","000")</f>
        <v>A_4540020</v>
      </c>
      <c r="L375" s="293" t="str">
        <f>_xll.EPMMemberDesc(K375)</f>
        <v>Rental Revenue - Agricultural Property</v>
      </c>
      <c r="M375" s="293">
        <v>0</v>
      </c>
      <c r="N375" s="293">
        <v>0</v>
      </c>
      <c r="O375" s="293">
        <v>0</v>
      </c>
      <c r="P375" s="293">
        <v>2700</v>
      </c>
      <c r="Q375" s="293">
        <v>9371</v>
      </c>
      <c r="R375" s="293">
        <v>13183</v>
      </c>
      <c r="S375" s="293">
        <v>1130</v>
      </c>
      <c r="T375" s="293">
        <v>400</v>
      </c>
      <c r="U375" s="293">
        <v>1467</v>
      </c>
      <c r="V375" s="293">
        <v>2645</v>
      </c>
      <c r="W375" s="293">
        <v>2699</v>
      </c>
      <c r="X375" s="293">
        <v>4617</v>
      </c>
      <c r="Y375" s="293">
        <v>425</v>
      </c>
      <c r="Z375" s="293">
        <v>9342</v>
      </c>
      <c r="AA375" s="293">
        <v>5560</v>
      </c>
      <c r="AB375" s="293">
        <v>53539</v>
      </c>
    </row>
    <row r="376" spans="10:28" ht="15" customHeight="1" x14ac:dyDescent="0.25">
      <c r="J376" s="291" t="str">
        <f xml:space="preserve"> _xll.EPMOlapMemberO("[COSTCENTER].[PARENTH1].[1001]","","1001","","000")</f>
        <v>1001</v>
      </c>
      <c r="K376" s="301" t="str">
        <f xml:space="preserve"> _xll.EPMOlapMemberO("[C_ACCOUNT].[PARENTH1].[A_4540030]","","A_4540030","","000")</f>
        <v>A_4540030</v>
      </c>
      <c r="L376" s="293" t="str">
        <f>_xll.EPMMemberDesc(K376)</f>
        <v>Rental Revenue - Electric Equipment</v>
      </c>
      <c r="M376" s="293">
        <v>0</v>
      </c>
      <c r="N376" s="293">
        <v>0</v>
      </c>
      <c r="O376" s="293">
        <v>0</v>
      </c>
      <c r="P376" s="293">
        <v>9749.36</v>
      </c>
      <c r="Q376" s="293">
        <v>9749.36</v>
      </c>
      <c r="R376" s="293">
        <v>9749.36</v>
      </c>
      <c r="S376" s="293">
        <v>9749.36</v>
      </c>
      <c r="T376" s="293">
        <v>9749.36</v>
      </c>
      <c r="U376" s="293">
        <v>9749.36</v>
      </c>
      <c r="V376" s="293">
        <v>9749.36</v>
      </c>
      <c r="W376" s="293">
        <v>9749.36</v>
      </c>
      <c r="X376" s="293">
        <v>9749.36</v>
      </c>
      <c r="Y376" s="293">
        <v>9749.36</v>
      </c>
      <c r="Z376" s="293">
        <v>9749.36</v>
      </c>
      <c r="AA376" s="293">
        <v>9749.36</v>
      </c>
      <c r="AB376" s="293">
        <v>116992.32000000001</v>
      </c>
    </row>
    <row r="377" spans="10:28" ht="15" customHeight="1" x14ac:dyDescent="0.25">
      <c r="J377" s="291" t="str">
        <f xml:space="preserve"> _xll.EPMOlapMemberO("[COSTCENTER].[PARENTH1].[1001]","","1001","","000")</f>
        <v>1001</v>
      </c>
      <c r="K377" s="301" t="str">
        <f xml:space="preserve"> _xll.EPMOlapMemberO("[C_ACCOUNT].[PARENTH1].[A_4540081]","","A_4540081","","000")</f>
        <v>A_4540081</v>
      </c>
      <c r="L377" s="293" t="str">
        <f>_xll.EPMMemberDesc(K377)</f>
        <v>Rental Revenue - Pole Attachments - Distribution</v>
      </c>
      <c r="M377" s="293">
        <v>0</v>
      </c>
      <c r="N377" s="293">
        <v>0</v>
      </c>
      <c r="O377" s="293">
        <v>0</v>
      </c>
      <c r="P377" s="293">
        <v>379541.67</v>
      </c>
      <c r="Q377" s="293">
        <v>379458</v>
      </c>
      <c r="R377" s="293">
        <v>379625</v>
      </c>
      <c r="S377" s="293">
        <v>379541.67</v>
      </c>
      <c r="T377" s="293">
        <v>379541.67</v>
      </c>
      <c r="U377" s="293">
        <v>379541.67</v>
      </c>
      <c r="V377" s="293">
        <v>386367</v>
      </c>
      <c r="W377" s="293">
        <v>379541.67</v>
      </c>
      <c r="X377" s="293">
        <v>379541.67</v>
      </c>
      <c r="Y377" s="293">
        <v>379541.67</v>
      </c>
      <c r="Z377" s="293">
        <v>379541.67</v>
      </c>
      <c r="AA377" s="293">
        <v>379541.67</v>
      </c>
      <c r="AB377" s="293">
        <v>4561325.03</v>
      </c>
    </row>
    <row r="378" spans="10:28" ht="15" customHeight="1" x14ac:dyDescent="0.25">
      <c r="J378" s="291" t="str">
        <f xml:space="preserve"> _xll.EPMOlapMemberO("[COSTCENTER].[PARENTH1].[1001]","","1001","","000")</f>
        <v>1001</v>
      </c>
      <c r="K378" s="301" t="str">
        <f xml:space="preserve"> _xll.EPMOlapMemberO("[C_ACCOUNT].[PARENTH1].[A_4540040]","","A_4540040","","000")</f>
        <v>A_4540040</v>
      </c>
      <c r="L378" s="293" t="str">
        <f>_xll.EPMMemberDesc(K378)</f>
        <v>Rental Revenue - Big Bend Station</v>
      </c>
      <c r="M378" s="293">
        <v>0</v>
      </c>
      <c r="N378" s="293">
        <v>0</v>
      </c>
      <c r="O378" s="293">
        <v>0</v>
      </c>
      <c r="P378" s="293">
        <v>3815.0039999999999</v>
      </c>
      <c r="Q378" s="293">
        <v>3815.0039999999999</v>
      </c>
      <c r="R378" s="293">
        <v>3815.0039999999999</v>
      </c>
      <c r="S378" s="293">
        <v>3815.0039999999999</v>
      </c>
      <c r="T378" s="293">
        <v>3815.0039999999999</v>
      </c>
      <c r="U378" s="293">
        <v>3815.0039999999999</v>
      </c>
      <c r="V378" s="293">
        <v>3815.0039999999999</v>
      </c>
      <c r="W378" s="293">
        <v>3815.0039999999999</v>
      </c>
      <c r="X378" s="293">
        <v>3815.0039999999999</v>
      </c>
      <c r="Y378" s="293">
        <v>3815.0039999999999</v>
      </c>
      <c r="Z378" s="293">
        <v>3815.0039999999999</v>
      </c>
      <c r="AA378" s="293">
        <v>3815.0039999999999</v>
      </c>
      <c r="AB378" s="293">
        <v>45780.048000000003</v>
      </c>
    </row>
    <row r="379" spans="10:28" ht="15" customHeight="1" x14ac:dyDescent="0.25">
      <c r="J379" s="291" t="str">
        <f xml:space="preserve"> _xll.EPMOlapMemberO("[COSTCENTER].[PARENTH1].[1001]","","1001","","000")</f>
        <v>1001</v>
      </c>
      <c r="K379" s="301" t="str">
        <f xml:space="preserve"> _xll.EPMOlapMemberO("[C_ACCOUNT].[PARENTH1].[A_4540050]","","A_4540050","","000")</f>
        <v>A_4540050</v>
      </c>
      <c r="L379" s="293" t="str">
        <f>_xll.EPMMemberDesc(K379)</f>
        <v>Rental Revenue - Miscellaneous</v>
      </c>
      <c r="M379" s="293">
        <v>0</v>
      </c>
      <c r="N379" s="293">
        <v>0</v>
      </c>
      <c r="O379" s="293">
        <v>0</v>
      </c>
      <c r="P379" s="293">
        <v>11085.462</v>
      </c>
      <c r="Q379" s="293">
        <v>11085.462</v>
      </c>
      <c r="R379" s="293">
        <v>11085.462</v>
      </c>
      <c r="S379" s="293">
        <v>11085.462</v>
      </c>
      <c r="T379" s="293">
        <v>11085.462</v>
      </c>
      <c r="U379" s="293">
        <v>11085.462</v>
      </c>
      <c r="V379" s="293">
        <v>11085.462</v>
      </c>
      <c r="W379" s="293">
        <v>11085.462</v>
      </c>
      <c r="X379" s="293">
        <v>11085.462</v>
      </c>
      <c r="Y379" s="293">
        <v>11307.17124</v>
      </c>
      <c r="Z379" s="293">
        <v>11307.17124</v>
      </c>
      <c r="AA379" s="293">
        <v>11307.17124</v>
      </c>
      <c r="AB379" s="293">
        <v>133690.67172000001</v>
      </c>
    </row>
    <row r="380" spans="10:28" ht="15" customHeight="1" x14ac:dyDescent="0.25">
      <c r="J380" s="291" t="str">
        <f xml:space="preserve"> _xll.EPMOlapMemberO("[COSTCENTER].[PARENTH1].[1001]","","1001","","000")</f>
        <v>1001</v>
      </c>
      <c r="K380" s="301" t="str">
        <f xml:space="preserve"> _xll.EPMOlapMemberO("[C_ACCOUNT].[PARENTH1].[A_4540700]","","A_4540700","","000")</f>
        <v>A_4540700</v>
      </c>
      <c r="L380" s="293" t="str">
        <f>_xll.EPMMemberDesc(K380)</f>
        <v>Rental Revenue - Intercompany</v>
      </c>
      <c r="M380" s="293">
        <v>0</v>
      </c>
      <c r="N380" s="293">
        <v>0</v>
      </c>
      <c r="O380" s="293">
        <v>0</v>
      </c>
      <c r="P380" s="293">
        <v>4460</v>
      </c>
      <c r="Q380" s="293">
        <v>4460</v>
      </c>
      <c r="R380" s="293">
        <v>4460</v>
      </c>
      <c r="S380" s="293">
        <v>4460</v>
      </c>
      <c r="T380" s="293">
        <v>4460</v>
      </c>
      <c r="U380" s="293">
        <v>4460</v>
      </c>
      <c r="V380" s="293">
        <v>4460</v>
      </c>
      <c r="W380" s="293">
        <v>4460</v>
      </c>
      <c r="X380" s="293">
        <v>4460</v>
      </c>
      <c r="Y380" s="293">
        <v>4460</v>
      </c>
      <c r="Z380" s="293">
        <v>4460</v>
      </c>
      <c r="AA380" s="293">
        <v>4460</v>
      </c>
      <c r="AB380" s="293">
        <v>53520</v>
      </c>
    </row>
    <row r="381" spans="10:28" ht="15" customHeight="1" x14ac:dyDescent="0.25">
      <c r="J381" s="291" t="str">
        <f xml:space="preserve"> _xll.EPMOlapMemberO("[COSTCENTER].[PARENTH1].[1001]","","1001","","000")</f>
        <v>1001</v>
      </c>
      <c r="K381" s="301" t="str">
        <f xml:space="preserve"> _xll.EPMOlapMemberO("[C_ACCOUNT].[PARENTH1].[A_4540701]","","A_4540701","","000")</f>
        <v>A_4540701</v>
      </c>
      <c r="L381" s="293" t="str">
        <f>_xll.EPMMemberDesc(K381)</f>
        <v>Rental Revenue - Intercompany - Asset Usage Fee</v>
      </c>
      <c r="M381" s="293">
        <v>0</v>
      </c>
      <c r="N381" s="293">
        <v>0</v>
      </c>
      <c r="O381" s="293">
        <v>0</v>
      </c>
      <c r="P381" s="293">
        <v>80952.586001899996</v>
      </c>
      <c r="Q381" s="293">
        <v>90924.425129700001</v>
      </c>
      <c r="R381" s="293">
        <v>90552.527156099997</v>
      </c>
      <c r="S381" s="293">
        <v>90180.356450299994</v>
      </c>
      <c r="T381" s="293">
        <v>89808.501824999999</v>
      </c>
      <c r="U381" s="293">
        <v>89432.376902000004</v>
      </c>
      <c r="V381" s="293">
        <v>85630.183634200002</v>
      </c>
      <c r="W381" s="293">
        <v>85280.165966300003</v>
      </c>
      <c r="X381" s="293">
        <v>85757.593382499996</v>
      </c>
      <c r="Y381" s="293">
        <v>87663.130753699996</v>
      </c>
      <c r="Z381" s="293">
        <v>87580.074642699998</v>
      </c>
      <c r="AA381" s="293">
        <v>87732.994038999997</v>
      </c>
      <c r="AB381" s="293">
        <v>1051494.9158834</v>
      </c>
    </row>
    <row r="382" spans="10:28" ht="15" customHeight="1" x14ac:dyDescent="0.25">
      <c r="J382" s="291" t="str">
        <f xml:space="preserve"> _xll.EPMOlapMemberO("[COSTCENTER].[PARENTH1].[1001]","","1001","","000")</f>
        <v>1001</v>
      </c>
      <c r="K382" s="301" t="str">
        <f xml:space="preserve"> _xll.EPMOlapMemberO("[C_ACCOUNT].[PARENTH1].[A_4540800]","","A_4540800","","000")</f>
        <v>A_4540800</v>
      </c>
      <c r="L382" s="293" t="str">
        <f>_xll.EPMMemberDesc(K382)</f>
        <v>Rental Revenue - MetroLink</v>
      </c>
      <c r="M382" s="293">
        <v>0</v>
      </c>
      <c r="N382" s="293">
        <v>0</v>
      </c>
      <c r="O382" s="293">
        <v>0</v>
      </c>
      <c r="P382" s="293">
        <v>205548</v>
      </c>
      <c r="Q382" s="293">
        <v>206879</v>
      </c>
      <c r="R382" s="293">
        <v>177644</v>
      </c>
      <c r="S382" s="293">
        <v>226462</v>
      </c>
      <c r="T382" s="293">
        <v>162751</v>
      </c>
      <c r="U382" s="293">
        <v>196965</v>
      </c>
      <c r="V382" s="293">
        <v>171544</v>
      </c>
      <c r="W382" s="293">
        <v>346946</v>
      </c>
      <c r="X382" s="293">
        <v>223035</v>
      </c>
      <c r="Y382" s="293">
        <v>295952</v>
      </c>
      <c r="Z382" s="293">
        <v>163311</v>
      </c>
      <c r="AA382" s="293">
        <v>195749</v>
      </c>
      <c r="AB382" s="293">
        <v>2572786</v>
      </c>
    </row>
    <row r="383" spans="10:28" ht="15" customHeight="1" x14ac:dyDescent="0.25">
      <c r="J383" s="291" t="str">
        <f xml:space="preserve"> _xll.EPMOlapMemberO("[COSTCENTER].[PARENTH1].[1001]","","1001","","000")</f>
        <v>1001</v>
      </c>
      <c r="K383" s="301" t="str">
        <f xml:space="preserve"> _xll.EPMOlapMemberO("[C_ACCOUNT].[PARENTH1].[A_4550000]","","A_4550000","","000")</f>
        <v>A_4550000</v>
      </c>
      <c r="L383" s="293" t="str">
        <f>_xll.EPMMemberDesc(K383)</f>
        <v>Interdepartmental Rents</v>
      </c>
      <c r="M383" s="293">
        <v>0</v>
      </c>
      <c r="N383" s="293">
        <v>0</v>
      </c>
      <c r="O383" s="293">
        <v>0</v>
      </c>
      <c r="P383" s="293">
        <v>48454</v>
      </c>
      <c r="Q383" s="293">
        <v>48454</v>
      </c>
      <c r="R383" s="293">
        <v>48454</v>
      </c>
      <c r="S383" s="293">
        <v>48454</v>
      </c>
      <c r="T383" s="293">
        <v>48454</v>
      </c>
      <c r="U383" s="293">
        <v>48454</v>
      </c>
      <c r="V383" s="293">
        <v>48454</v>
      </c>
      <c r="W383" s="293">
        <v>48454</v>
      </c>
      <c r="X383" s="293">
        <v>48454</v>
      </c>
      <c r="Y383" s="293">
        <v>48454</v>
      </c>
      <c r="Z383" s="293">
        <v>48454</v>
      </c>
      <c r="AA383" s="293">
        <v>48454</v>
      </c>
      <c r="AB383" s="293">
        <v>581448</v>
      </c>
    </row>
    <row r="384" spans="10:28" ht="15" customHeight="1" x14ac:dyDescent="0.25">
      <c r="J384" s="291" t="str">
        <f xml:space="preserve"> _xll.EPMOlapMemberO("[COSTCENTER].[PARENTH1].[1001]","","1001","","000")</f>
        <v>1001</v>
      </c>
      <c r="K384" s="301" t="str">
        <f xml:space="preserve"> _xll.EPMOlapMemberO("[C_ACCOUNT].[PARENTH1].[A_4550001]","","A_4550001","","000")</f>
        <v>A_4550001</v>
      </c>
      <c r="L384" s="293" t="str">
        <f>_xll.EPMMemberDesc(K384)</f>
        <v>Interdepartmental Rents - Asset Usage Fee</v>
      </c>
      <c r="M384" s="293">
        <v>0</v>
      </c>
      <c r="N384" s="293">
        <v>0</v>
      </c>
      <c r="O384" s="293">
        <v>0</v>
      </c>
      <c r="P384" s="293">
        <v>274540.22544020001</v>
      </c>
      <c r="Q384" s="293">
        <v>302150.63043650001</v>
      </c>
      <c r="R384" s="293">
        <v>302150.63043650001</v>
      </c>
      <c r="S384" s="293">
        <v>302150.63043650001</v>
      </c>
      <c r="T384" s="293">
        <v>302150.63043650001</v>
      </c>
      <c r="U384" s="293">
        <v>302147.25316259998</v>
      </c>
      <c r="V384" s="293">
        <v>299314.52445179998</v>
      </c>
      <c r="W384" s="293">
        <v>300414.4144518</v>
      </c>
      <c r="X384" s="293">
        <v>300414.4144518</v>
      </c>
      <c r="Y384" s="293">
        <v>301887.09634210001</v>
      </c>
      <c r="Z384" s="293">
        <v>301887.09634210001</v>
      </c>
      <c r="AA384" s="293">
        <v>302038.7134443</v>
      </c>
      <c r="AB384" s="293">
        <v>3591246.2598326998</v>
      </c>
    </row>
    <row r="385" spans="10:28" ht="15" customHeight="1" x14ac:dyDescent="0.2">
      <c r="J385" s="286" t="str">
        <f xml:space="preserve"> _xll.EPMOlapMemberO("[COSTCENTER].[PARENTH1].[1001]","","1001","","000")</f>
        <v>1001</v>
      </c>
      <c r="K385" s="300" t="str">
        <f xml:space="preserve"> _xll.EPMOlapMemberO("[C_ACCOUNT].[PARENTH1].[OTH_ELEC_REV]","","OTH_ELEC_REV","","000")</f>
        <v>OTH_ELEC_REV</v>
      </c>
      <c r="L385" s="286" t="str">
        <f>_xll.EPMMemberDesc(K385)</f>
        <v>Other Electric Revenues</v>
      </c>
      <c r="M385" s="287">
        <v>0</v>
      </c>
      <c r="N385" s="287">
        <v>0</v>
      </c>
      <c r="O385" s="287">
        <v>0</v>
      </c>
      <c r="P385" s="287">
        <v>748123.80694789998</v>
      </c>
      <c r="Q385" s="287">
        <v>800656.85991320002</v>
      </c>
      <c r="R385" s="287">
        <v>697654.70352750004</v>
      </c>
      <c r="S385" s="287">
        <v>806138.40296930005</v>
      </c>
      <c r="T385" s="287">
        <v>698943.75297609996</v>
      </c>
      <c r="U385" s="287">
        <v>787503.44667490001</v>
      </c>
      <c r="V385" s="287">
        <v>721692.85558570002</v>
      </c>
      <c r="W385" s="287">
        <v>823057.56149450003</v>
      </c>
      <c r="X385" s="287">
        <v>724023.92821679998</v>
      </c>
      <c r="Y385" s="287">
        <v>814043.55784629995</v>
      </c>
      <c r="Z385" s="287">
        <v>723900.3149008</v>
      </c>
      <c r="AA385" s="287">
        <v>833115.9633843</v>
      </c>
      <c r="AB385" s="287">
        <v>9178855.1544372998</v>
      </c>
    </row>
    <row r="386" spans="10:28" ht="15" customHeight="1" x14ac:dyDescent="0.25">
      <c r="J386" s="291" t="str">
        <f xml:space="preserve"> _xll.EPMOlapMemberO("[COSTCENTER].[PARENTH1].[1001]","","1001","","000")</f>
        <v>1001</v>
      </c>
      <c r="K386" s="301" t="str">
        <f xml:space="preserve"> _xll.EPMOlapMemberO("[C_ACCOUNT].[PARENTH1].[A_4560020]","","A_4560020","","000")</f>
        <v>A_4560020</v>
      </c>
      <c r="L386" s="293" t="str">
        <f>_xll.EPMMemberDesc(K386)</f>
        <v>Other Revenue - At-Cost Job Orders</v>
      </c>
      <c r="M386" s="293">
        <v>0</v>
      </c>
      <c r="N386" s="293">
        <v>0</v>
      </c>
      <c r="O386" s="293">
        <v>0</v>
      </c>
      <c r="P386" s="293">
        <v>0</v>
      </c>
      <c r="Q386" s="293">
        <v>100000</v>
      </c>
      <c r="R386" s="293">
        <v>0</v>
      </c>
      <c r="S386" s="293">
        <v>100000</v>
      </c>
      <c r="T386" s="293">
        <v>0</v>
      </c>
      <c r="U386" s="293">
        <v>100000</v>
      </c>
      <c r="V386" s="293">
        <v>0</v>
      </c>
      <c r="W386" s="293">
        <v>100000</v>
      </c>
      <c r="X386" s="293">
        <v>0</v>
      </c>
      <c r="Y386" s="293">
        <v>100000</v>
      </c>
      <c r="Z386" s="293">
        <v>0</v>
      </c>
      <c r="AA386" s="293">
        <v>100000</v>
      </c>
      <c r="AB386" s="293">
        <v>600000</v>
      </c>
    </row>
    <row r="387" spans="10:28" ht="15" customHeight="1" x14ac:dyDescent="0.25">
      <c r="J387" s="291" t="str">
        <f xml:space="preserve"> _xll.EPMOlapMemberO("[COSTCENTER].[PARENTH1].[1001]","","1001","","000")</f>
        <v>1001</v>
      </c>
      <c r="K387" s="301" t="str">
        <f xml:space="preserve"> _xll.EPMOlapMemberO("[C_ACCOUNT].[PARENTH1].[A_4560030]","","A_4560030","","000")</f>
        <v>A_4560030</v>
      </c>
      <c r="L387" s="293" t="str">
        <f>_xll.EPMMemberDesc(K387)</f>
        <v>Other Revenue - Sales Tax</v>
      </c>
      <c r="M387" s="293">
        <v>0</v>
      </c>
      <c r="N387" s="293">
        <v>0</v>
      </c>
      <c r="O387" s="293">
        <v>0</v>
      </c>
      <c r="P387" s="293">
        <v>5800</v>
      </c>
      <c r="Q387" s="293">
        <v>5700</v>
      </c>
      <c r="R387" s="293">
        <v>5800</v>
      </c>
      <c r="S387" s="293">
        <v>5700</v>
      </c>
      <c r="T387" s="293">
        <v>5600</v>
      </c>
      <c r="U387" s="293">
        <v>6900</v>
      </c>
      <c r="V387" s="293">
        <v>7600</v>
      </c>
      <c r="W387" s="293">
        <v>7600</v>
      </c>
      <c r="X387" s="293">
        <v>7400</v>
      </c>
      <c r="Y387" s="293">
        <v>8000</v>
      </c>
      <c r="Z387" s="293">
        <v>7200</v>
      </c>
      <c r="AA387" s="293">
        <v>6500</v>
      </c>
      <c r="AB387" s="293">
        <v>79800</v>
      </c>
    </row>
    <row r="388" spans="10:28" ht="15" customHeight="1" x14ac:dyDescent="0.25">
      <c r="J388" s="291" t="str">
        <f xml:space="preserve"> _xll.EPMOlapMemberO("[COSTCENTER].[PARENTH1].[1001]","","1001","","000")</f>
        <v>1001</v>
      </c>
      <c r="K388" s="301" t="str">
        <f xml:space="preserve"> _xll.EPMOlapMemberO("[C_ACCOUNT].[PARENTH1].[A_4560080]","","A_4560080","","000")</f>
        <v>A_4560080</v>
      </c>
      <c r="L388" s="293" t="str">
        <f>_xll.EPMMemberDesc(K388)</f>
        <v>Other Revenue - Cogen Maintenance - Transmission</v>
      </c>
      <c r="M388" s="293">
        <v>0</v>
      </c>
      <c r="N388" s="293">
        <v>0</v>
      </c>
      <c r="O388" s="293">
        <v>0</v>
      </c>
      <c r="P388" s="293">
        <v>11289</v>
      </c>
      <c r="Q388" s="293">
        <v>11289</v>
      </c>
      <c r="R388" s="293">
        <v>11289</v>
      </c>
      <c r="S388" s="293">
        <v>11289</v>
      </c>
      <c r="T388" s="293">
        <v>11289</v>
      </c>
      <c r="U388" s="293">
        <v>11289</v>
      </c>
      <c r="V388" s="293">
        <v>11289</v>
      </c>
      <c r="W388" s="293">
        <v>11289</v>
      </c>
      <c r="X388" s="293">
        <v>11289</v>
      </c>
      <c r="Y388" s="293">
        <v>11289</v>
      </c>
      <c r="Z388" s="293">
        <v>11289</v>
      </c>
      <c r="AA388" s="293">
        <v>11289</v>
      </c>
      <c r="AB388" s="293">
        <v>135468</v>
      </c>
    </row>
    <row r="389" spans="10:28" ht="15" customHeight="1" x14ac:dyDescent="0.25">
      <c r="J389" s="291" t="str">
        <f xml:space="preserve"> _xll.EPMOlapMemberO("[COSTCENTER].[PARENTH1].[1001]","","1001","","000")</f>
        <v>1001</v>
      </c>
      <c r="K389" s="301" t="str">
        <f xml:space="preserve"> _xll.EPMOlapMemberO("[C_ACCOUNT].[PARENTH1].[A_4560120]","","A_4560120","","000")</f>
        <v>A_4560120</v>
      </c>
      <c r="L389" s="293" t="str">
        <f>_xll.EPMMemberDesc(K389)</f>
        <v>Other Revenue - Green Power Program</v>
      </c>
      <c r="M389" s="293">
        <v>0</v>
      </c>
      <c r="N389" s="293">
        <v>0</v>
      </c>
      <c r="O389" s="293">
        <v>0</v>
      </c>
      <c r="P389" s="293">
        <v>9805</v>
      </c>
      <c r="Q389" s="293">
        <v>9805</v>
      </c>
      <c r="R389" s="293">
        <v>9805</v>
      </c>
      <c r="S389" s="293">
        <v>9805</v>
      </c>
      <c r="T389" s="293">
        <v>9805</v>
      </c>
      <c r="U389" s="293">
        <v>9805</v>
      </c>
      <c r="V389" s="293">
        <v>9805</v>
      </c>
      <c r="W389" s="293">
        <v>9805</v>
      </c>
      <c r="X389" s="293">
        <v>9805</v>
      </c>
      <c r="Y389" s="293">
        <v>9805</v>
      </c>
      <c r="Z389" s="293">
        <v>9805</v>
      </c>
      <c r="AA389" s="293">
        <v>9805</v>
      </c>
      <c r="AB389" s="293">
        <v>117660</v>
      </c>
    </row>
    <row r="390" spans="10:28" ht="15" customHeight="1" x14ac:dyDescent="0.25">
      <c r="J390" s="291" t="str">
        <f xml:space="preserve"> _xll.EPMOlapMemberO("[COSTCENTER].[PARENTH1].[1001]","","1001","","000")</f>
        <v>1001</v>
      </c>
      <c r="K390" s="301" t="str">
        <f xml:space="preserve"> _xll.EPMOlapMemberO("[C_ACCOUNT].[PARENTH1].[A_4560200]","","A_4560200","","000")</f>
        <v>A_4560200</v>
      </c>
      <c r="L390" s="293" t="str">
        <f>_xll.EPMMemberDesc(K390)</f>
        <v>OATT Pt to Pt Revenue</v>
      </c>
      <c r="M390" s="293">
        <v>0</v>
      </c>
      <c r="N390" s="293">
        <v>0</v>
      </c>
      <c r="O390" s="293">
        <v>0</v>
      </c>
      <c r="P390" s="293">
        <v>656186.31318679999</v>
      </c>
      <c r="Q390" s="293">
        <v>656186.31318679999</v>
      </c>
      <c r="R390" s="293">
        <v>656186.31318679999</v>
      </c>
      <c r="S390" s="293">
        <v>656186.31318679999</v>
      </c>
      <c r="T390" s="293">
        <v>656186.31318679999</v>
      </c>
      <c r="U390" s="293">
        <v>622749.5</v>
      </c>
      <c r="V390" s="293">
        <v>622749.5</v>
      </c>
      <c r="W390" s="293">
        <v>622749.5</v>
      </c>
      <c r="X390" s="293">
        <v>622749.5</v>
      </c>
      <c r="Y390" s="293">
        <v>656186.31318679999</v>
      </c>
      <c r="Z390" s="293">
        <v>656186.31318679999</v>
      </c>
      <c r="AA390" s="293">
        <v>656186.31318679999</v>
      </c>
      <c r="AB390" s="293">
        <v>7740488.5054943999</v>
      </c>
    </row>
    <row r="391" spans="10:28" ht="15" customHeight="1" x14ac:dyDescent="0.25">
      <c r="J391" s="291" t="str">
        <f xml:space="preserve"> _xll.EPMOlapMemberO("[COSTCENTER].[PARENTH1].[1001]","","1001","","000")</f>
        <v>1001</v>
      </c>
      <c r="K391" s="301" t="str">
        <f xml:space="preserve"> _xll.EPMOlapMemberO("[C_ACCOUNT].[PARENTH1].[A_4560210]","","A_4560210","","000")</f>
        <v>A_4560210</v>
      </c>
      <c r="L391" s="293" t="str">
        <f>_xll.EPMMemberDesc(K391)</f>
        <v>OATT Ancillary Scheduling Revenue</v>
      </c>
      <c r="M391" s="293">
        <v>0</v>
      </c>
      <c r="N391" s="293">
        <v>0</v>
      </c>
      <c r="O391" s="293">
        <v>0</v>
      </c>
      <c r="P391" s="293">
        <v>14574.3903407</v>
      </c>
      <c r="Q391" s="293">
        <v>14574.3903407</v>
      </c>
      <c r="R391" s="293">
        <v>14574.3903407</v>
      </c>
      <c r="S391" s="293">
        <v>14574.3903407</v>
      </c>
      <c r="T391" s="293">
        <v>14574.3903407</v>
      </c>
      <c r="U391" s="293">
        <v>14070.731</v>
      </c>
      <c r="V391" s="293">
        <v>14070.731</v>
      </c>
      <c r="W391" s="293">
        <v>14070.731</v>
      </c>
      <c r="X391" s="293">
        <v>14070.731</v>
      </c>
      <c r="Y391" s="293">
        <v>14574.3903407</v>
      </c>
      <c r="Z391" s="293">
        <v>14574.3903407</v>
      </c>
      <c r="AA391" s="293">
        <v>14574.3903407</v>
      </c>
      <c r="AB391" s="293">
        <v>172878.0467256</v>
      </c>
    </row>
    <row r="392" spans="10:28" ht="15" customHeight="1" x14ac:dyDescent="0.25">
      <c r="J392" s="291" t="str">
        <f xml:space="preserve"> _xll.EPMOlapMemberO("[COSTCENTER].[PARENTH1].[1001]","","1001","","000")</f>
        <v>1001</v>
      </c>
      <c r="K392" s="301" t="str">
        <f xml:space="preserve"> _xll.EPMOlapMemberO("[C_ACCOUNT].[PARENTH1].[A_4560660]","","A_4560660","","000")</f>
        <v>A_4560660</v>
      </c>
      <c r="L392" s="293" t="str">
        <f>_xll.EPMMemberDesc(K392)</f>
        <v>Other Revenue - Gypsum Excluding ECRC</v>
      </c>
      <c r="M392" s="293">
        <v>0</v>
      </c>
      <c r="N392" s="293">
        <v>0</v>
      </c>
      <c r="O392" s="293">
        <v>0</v>
      </c>
      <c r="P392" s="293">
        <v>50469.103420400003</v>
      </c>
      <c r="Q392" s="293">
        <v>3102.1563857000001</v>
      </c>
      <c r="R392" s="293">
        <v>0</v>
      </c>
      <c r="S392" s="293">
        <v>8583.6994417999995</v>
      </c>
      <c r="T392" s="293">
        <v>1489.0494486</v>
      </c>
      <c r="U392" s="293">
        <v>22689.215674899999</v>
      </c>
      <c r="V392" s="293">
        <v>56178.624585700003</v>
      </c>
      <c r="W392" s="293">
        <v>57543.330494499998</v>
      </c>
      <c r="X392" s="293">
        <v>58709.697216799999</v>
      </c>
      <c r="Y392" s="293">
        <v>14188.8543188</v>
      </c>
      <c r="Z392" s="293">
        <v>24845.611373299998</v>
      </c>
      <c r="AA392" s="293">
        <v>34761.259856800003</v>
      </c>
      <c r="AB392" s="293">
        <v>332560.60221729998</v>
      </c>
    </row>
    <row r="393" spans="10:28" ht="15" customHeight="1" x14ac:dyDescent="0.2">
      <c r="J393" s="286" t="str">
        <f xml:space="preserve"> _xll.EPMOlapMemberO("[COSTCENTER].[PARENTH1].[1001]","","1001","","000")</f>
        <v>1001</v>
      </c>
      <c r="K393" s="290" t="str">
        <f xml:space="preserve"> _xll.EPMOlapMemberO("[C_ACCOUNT].[PARENTH1].[EXPENSES]","","EXPENSES","","000")</f>
        <v>EXPENSES</v>
      </c>
      <c r="L393" s="286" t="str">
        <f>_xll.EPMMemberDesc(K393)</f>
        <v>OPERATING EXPENSES</v>
      </c>
      <c r="M393" s="287">
        <v>0</v>
      </c>
      <c r="N393" s="287">
        <v>0</v>
      </c>
      <c r="O393" s="287">
        <v>0</v>
      </c>
      <c r="P393" s="287">
        <v>126638485.575829</v>
      </c>
      <c r="Q393" s="287">
        <v>120214909.0071858</v>
      </c>
      <c r="R393" s="287">
        <v>123952125.72724549</v>
      </c>
      <c r="S393" s="287">
        <v>123666914.1255253</v>
      </c>
      <c r="T393" s="287">
        <v>129627538.3914244</v>
      </c>
      <c r="U393" s="287">
        <v>142495213.32269061</v>
      </c>
      <c r="V393" s="287">
        <v>142566391.4664889</v>
      </c>
      <c r="W393" s="287">
        <v>141877691.53559569</v>
      </c>
      <c r="X393" s="287">
        <v>144329503.8230848</v>
      </c>
      <c r="Y393" s="287">
        <v>139042819.95322359</v>
      </c>
      <c r="Z393" s="287">
        <v>122593407.5101326</v>
      </c>
      <c r="AA393" s="287">
        <v>130547166.4130004</v>
      </c>
      <c r="AB393" s="287">
        <v>1587552166.8514266</v>
      </c>
    </row>
    <row r="394" spans="10:28" ht="15" customHeight="1" x14ac:dyDescent="0.2">
      <c r="J394" s="286" t="str">
        <f xml:space="preserve"> _xll.EPMOlapMemberO("[COSTCENTER].[PARENTH1].[1001]","","1001","","000")</f>
        <v>1001</v>
      </c>
      <c r="K394" s="294" t="str">
        <f xml:space="preserve"> _xll.EPMOlapMemberO("[C_ACCOUNT].[PARENTH1].[OP_AND_MAINT]","","OP_AND_MAINT","","000")</f>
        <v>OP_AND_MAINT</v>
      </c>
      <c r="L394" s="286" t="str">
        <f>_xll.EPMMemberDesc(K394)</f>
        <v>Operations and Maintenance</v>
      </c>
      <c r="M394" s="287">
        <v>0</v>
      </c>
      <c r="N394" s="287">
        <v>0</v>
      </c>
      <c r="O394" s="287">
        <v>0</v>
      </c>
      <c r="P394" s="287">
        <v>80760824.846304595</v>
      </c>
      <c r="Q394" s="287">
        <v>75062150.045246497</v>
      </c>
      <c r="R394" s="287">
        <v>78798151.732703894</v>
      </c>
      <c r="S394" s="287">
        <v>78106544.979080394</v>
      </c>
      <c r="T394" s="287">
        <v>83309891.576355994</v>
      </c>
      <c r="U394" s="287">
        <v>94693300.966596097</v>
      </c>
      <c r="V394" s="287">
        <v>94274768.218359798</v>
      </c>
      <c r="W394" s="287">
        <v>93609164.565419003</v>
      </c>
      <c r="X394" s="287">
        <v>95430061.546238601</v>
      </c>
      <c r="Y394" s="287">
        <v>91143807.359256998</v>
      </c>
      <c r="Z394" s="287">
        <v>75928906.990175396</v>
      </c>
      <c r="AA394" s="287">
        <v>82313934.686976597</v>
      </c>
      <c r="AB394" s="287">
        <v>1023431507.512714</v>
      </c>
    </row>
    <row r="395" spans="10:28" ht="15" customHeight="1" x14ac:dyDescent="0.2">
      <c r="J395" s="286" t="str">
        <f xml:space="preserve"> _xll.EPMOlapMemberO("[COSTCENTER].[PARENTH1].[1001]","","1001","","000")</f>
        <v>1001</v>
      </c>
      <c r="K395" s="297" t="str">
        <f xml:space="preserve"> _xll.EPMOlapMemberO("[C_ACCOUNT].[PARENTH1].[FUEL]","","FUEL","","000")</f>
        <v>FUEL</v>
      </c>
      <c r="L395" s="286" t="str">
        <f>_xll.EPMMemberDesc(K395)</f>
        <v>Fuel Expenses</v>
      </c>
      <c r="M395" s="287">
        <v>0</v>
      </c>
      <c r="N395" s="287">
        <v>0</v>
      </c>
      <c r="O395" s="287">
        <v>0</v>
      </c>
      <c r="P395" s="287">
        <v>41679979.381656699</v>
      </c>
      <c r="Q395" s="287">
        <v>38972835.939754002</v>
      </c>
      <c r="R395" s="287">
        <v>40735915.668021202</v>
      </c>
      <c r="S395" s="287">
        <v>43466679.0442276</v>
      </c>
      <c r="T395" s="287">
        <v>48584076.322863698</v>
      </c>
      <c r="U395" s="287">
        <v>56234536</v>
      </c>
      <c r="V395" s="287">
        <v>58535125</v>
      </c>
      <c r="W395" s="287">
        <v>59281781</v>
      </c>
      <c r="X395" s="287">
        <v>56750596</v>
      </c>
      <c r="Y395" s="287">
        <v>53200861</v>
      </c>
      <c r="Z395" s="287">
        <v>42227932</v>
      </c>
      <c r="AA395" s="287">
        <v>44203731.291444503</v>
      </c>
      <c r="AB395" s="287">
        <v>583874048.6479677</v>
      </c>
    </row>
    <row r="396" spans="10:28" ht="15" customHeight="1" x14ac:dyDescent="0.25">
      <c r="J396" s="291" t="str">
        <f xml:space="preserve"> _xll.EPMOlapMemberO("[COSTCENTER].[PARENTH1].[1001]","","1001","","000")</f>
        <v>1001</v>
      </c>
      <c r="K396" s="304" t="str">
        <f xml:space="preserve"> _xll.EPMOlapMemberO("[C_ACCOUNT].[PARENTH1].[A_4073021]","","A_4073021","","000")</f>
        <v>A_4073021</v>
      </c>
      <c r="L396" s="293" t="str">
        <f>_xll.EPMMemberDesc(K396)</f>
        <v>REG DR Defd Fuel and Purchased Power - Amortiz</v>
      </c>
      <c r="M396" s="293">
        <v>0</v>
      </c>
      <c r="N396" s="293">
        <v>0</v>
      </c>
      <c r="O396" s="293">
        <v>0</v>
      </c>
      <c r="P396" s="293">
        <v>2123255</v>
      </c>
      <c r="Q396" s="293">
        <v>2123255</v>
      </c>
      <c r="R396" s="293">
        <v>2123255</v>
      </c>
      <c r="S396" s="293">
        <v>2123255</v>
      </c>
      <c r="T396" s="293">
        <v>2123255</v>
      </c>
      <c r="U396" s="293">
        <v>2123255</v>
      </c>
      <c r="V396" s="293">
        <v>2123255</v>
      </c>
      <c r="W396" s="293">
        <v>2123255</v>
      </c>
      <c r="X396" s="293">
        <v>2123255</v>
      </c>
      <c r="Y396" s="293">
        <v>2123255</v>
      </c>
      <c r="Z396" s="293">
        <v>2123255</v>
      </c>
      <c r="AA396" s="293">
        <v>2123250</v>
      </c>
      <c r="AB396" s="293">
        <v>25479055</v>
      </c>
    </row>
    <row r="397" spans="10:28" ht="15" customHeight="1" x14ac:dyDescent="0.25">
      <c r="J397" s="291" t="str">
        <f xml:space="preserve"> _xll.EPMOlapMemberO("[COSTCENTER].[PARENTH1].[1001]","","1001","","000")</f>
        <v>1001</v>
      </c>
      <c r="K397" s="304" t="str">
        <f xml:space="preserve"> _xll.EPMOlapMemberO("[C_ACCOUNT].[PARENTH1].[A_4074020]","","A_4074020","","000")</f>
        <v>A_4074020</v>
      </c>
      <c r="L397" s="293" t="str">
        <f>_xll.EPMMemberDesc(K397)</f>
        <v>REG CR Defd Fuel and Purchased Power</v>
      </c>
      <c r="M397" s="293">
        <v>0</v>
      </c>
      <c r="N397" s="293">
        <v>0</v>
      </c>
      <c r="O397" s="293">
        <v>0</v>
      </c>
      <c r="P397" s="293">
        <v>-1771147.4240832001</v>
      </c>
      <c r="Q397" s="293">
        <v>-1758805.8372865</v>
      </c>
      <c r="R397" s="293">
        <v>-4363385.3319787998</v>
      </c>
      <c r="S397" s="293">
        <v>-313052.95577240002</v>
      </c>
      <c r="T397" s="293">
        <v>-3033504.6771363001</v>
      </c>
      <c r="U397" s="293">
        <v>0</v>
      </c>
      <c r="V397" s="293">
        <v>0</v>
      </c>
      <c r="W397" s="293">
        <v>0</v>
      </c>
      <c r="X397" s="293">
        <v>0</v>
      </c>
      <c r="Y397" s="293">
        <v>0</v>
      </c>
      <c r="Z397" s="293">
        <v>0</v>
      </c>
      <c r="AA397" s="293">
        <v>-3457289.7085555</v>
      </c>
      <c r="AB397" s="293">
        <v>-14697185.9348127</v>
      </c>
    </row>
    <row r="398" spans="10:28" ht="15" customHeight="1" x14ac:dyDescent="0.25">
      <c r="J398" s="291" t="str">
        <f xml:space="preserve"> _xll.EPMOlapMemberO("[COSTCENTER].[PARENTH1].[1001]","","1001","","000")</f>
        <v>1001</v>
      </c>
      <c r="K398" s="304" t="str">
        <f xml:space="preserve"> _xll.EPMOlapMemberO("[C_ACCOUNT].[PARENTH1].[A_4074030]","","A_4074030","","000")</f>
        <v>A_4074030</v>
      </c>
      <c r="L398" s="293" t="str">
        <f>_xll.EPMMemberDesc(K398)</f>
        <v>REG CR Defd Capacity</v>
      </c>
      <c r="M398" s="293">
        <v>0</v>
      </c>
      <c r="N398" s="293">
        <v>0</v>
      </c>
      <c r="O398" s="293">
        <v>0</v>
      </c>
      <c r="P398" s="293">
        <v>-1227575.1942600999</v>
      </c>
      <c r="Q398" s="293">
        <v>-1229049.2229595</v>
      </c>
      <c r="R398" s="293">
        <v>0</v>
      </c>
      <c r="S398" s="293">
        <v>0</v>
      </c>
      <c r="T398" s="293">
        <v>0</v>
      </c>
      <c r="U398" s="293">
        <v>0</v>
      </c>
      <c r="V398" s="293">
        <v>0</v>
      </c>
      <c r="W398" s="293">
        <v>0</v>
      </c>
      <c r="X398" s="293">
        <v>0</v>
      </c>
      <c r="Y398" s="293">
        <v>0</v>
      </c>
      <c r="Z398" s="293">
        <v>0</v>
      </c>
      <c r="AA398" s="293">
        <v>0</v>
      </c>
      <c r="AB398" s="293">
        <v>-2456624.4172196002</v>
      </c>
    </row>
    <row r="399" spans="10:28" ht="15" customHeight="1" x14ac:dyDescent="0.25">
      <c r="J399" s="291" t="str">
        <f xml:space="preserve"> _xll.EPMOlapMemberO("[COSTCENTER].[PARENTH1].[1001]","","1001","","000")</f>
        <v>1001</v>
      </c>
      <c r="K399" s="304" t="str">
        <f xml:space="preserve"> _xll.EPMOlapMemberO("[C_ACCOUNT].[PARENTH1].[A_6200010]","","A_6200010","","000")</f>
        <v>A_6200010</v>
      </c>
      <c r="L399" s="293" t="str">
        <f>_xll.EPMMemberDesc(K399)</f>
        <v>Fuel Expense - Coal Recoverable</v>
      </c>
      <c r="M399" s="293">
        <v>0</v>
      </c>
      <c r="N399" s="293">
        <v>0</v>
      </c>
      <c r="O399" s="293">
        <v>0</v>
      </c>
      <c r="P399" s="293">
        <v>4403375</v>
      </c>
      <c r="Q399" s="293">
        <v>4105441</v>
      </c>
      <c r="R399" s="293">
        <v>2340175</v>
      </c>
      <c r="S399" s="293">
        <v>3162584</v>
      </c>
      <c r="T399" s="293">
        <v>6032681</v>
      </c>
      <c r="U399" s="293">
        <v>5792999</v>
      </c>
      <c r="V399" s="293">
        <v>5543987</v>
      </c>
      <c r="W399" s="293">
        <v>5777585</v>
      </c>
      <c r="X399" s="293">
        <v>5448364</v>
      </c>
      <c r="Y399" s="293">
        <v>3093615</v>
      </c>
      <c r="Z399" s="293">
        <v>0</v>
      </c>
      <c r="AA399" s="293">
        <v>1858234</v>
      </c>
      <c r="AB399" s="293">
        <v>47559040</v>
      </c>
    </row>
    <row r="400" spans="10:28" ht="15" customHeight="1" x14ac:dyDescent="0.25">
      <c r="J400" s="291" t="str">
        <f xml:space="preserve"> _xll.EPMOlapMemberO("[COSTCENTER].[PARENTH1].[1001]","","1001","","000")</f>
        <v>1001</v>
      </c>
      <c r="K400" s="304" t="str">
        <f xml:space="preserve"> _xll.EPMOlapMemberO("[C_ACCOUNT].[PARENTH1].[A_6200011]","","A_6200011","","000")</f>
        <v>A_6200011</v>
      </c>
      <c r="L400" s="293" t="str">
        <f>_xll.EPMMemberDesc(K400)</f>
        <v>Fuel Expense - Non-recoverable</v>
      </c>
      <c r="M400" s="293">
        <v>0</v>
      </c>
      <c r="N400" s="293">
        <v>0</v>
      </c>
      <c r="O400" s="293">
        <v>0</v>
      </c>
      <c r="P400" s="293">
        <v>0</v>
      </c>
      <c r="Q400" s="293">
        <v>0</v>
      </c>
      <c r="R400" s="293">
        <v>0</v>
      </c>
      <c r="S400" s="293">
        <v>0</v>
      </c>
      <c r="T400" s="293">
        <v>0</v>
      </c>
      <c r="U400" s="293">
        <v>0</v>
      </c>
      <c r="V400" s="293">
        <v>0</v>
      </c>
      <c r="W400" s="293">
        <v>0</v>
      </c>
      <c r="X400" s="293">
        <v>0</v>
      </c>
      <c r="Y400" s="293">
        <v>0</v>
      </c>
      <c r="Z400" s="293">
        <v>12264</v>
      </c>
      <c r="AA400" s="293">
        <v>0</v>
      </c>
      <c r="AB400" s="293">
        <v>12264</v>
      </c>
    </row>
    <row r="401" spans="10:28" ht="15" customHeight="1" x14ac:dyDescent="0.25">
      <c r="J401" s="291" t="str">
        <f xml:space="preserve"> _xll.EPMOlapMemberO("[COSTCENTER].[PARENTH1].[1001]","","1001","","000")</f>
        <v>1001</v>
      </c>
      <c r="K401" s="304" t="str">
        <f xml:space="preserve"> _xll.EPMOlapMemberO("[C_ACCOUNT].[PARENTH1].[A_6200030]","","A_6200030","","000")</f>
        <v>A_6200030</v>
      </c>
      <c r="L401" s="293" t="str">
        <f>_xll.EPMMemberDesc(K401)</f>
        <v>Fuel Expense - Natural Gas</v>
      </c>
      <c r="M401" s="293">
        <v>0</v>
      </c>
      <c r="N401" s="293">
        <v>0</v>
      </c>
      <c r="O401" s="293">
        <v>0</v>
      </c>
      <c r="P401" s="293">
        <v>37627734</v>
      </c>
      <c r="Q401" s="293">
        <v>35731995</v>
      </c>
      <c r="R401" s="293">
        <v>40133289</v>
      </c>
      <c r="S401" s="293">
        <v>38131973</v>
      </c>
      <c r="T401" s="293">
        <v>42991357</v>
      </c>
      <c r="U401" s="293">
        <v>47877600</v>
      </c>
      <c r="V401" s="293">
        <v>50425840</v>
      </c>
      <c r="W401" s="293">
        <v>50950395</v>
      </c>
      <c r="X401" s="293">
        <v>48771663</v>
      </c>
      <c r="Y401" s="293">
        <v>47591283</v>
      </c>
      <c r="Z401" s="293">
        <v>39771005</v>
      </c>
      <c r="AA401" s="293">
        <v>43279420</v>
      </c>
      <c r="AB401" s="293">
        <v>523283554</v>
      </c>
    </row>
    <row r="402" spans="10:28" ht="15" customHeight="1" x14ac:dyDescent="0.25">
      <c r="J402" s="291" t="str">
        <f xml:space="preserve"> _xll.EPMOlapMemberO("[COSTCENTER].[PARENTH1].[1001]","","1001","","000")</f>
        <v>1001</v>
      </c>
      <c r="K402" s="304" t="str">
        <f xml:space="preserve"> _xll.EPMOlapMemberO("[C_ACCOUNT].[PARENTH1].[A_6200040]","","A_6200040","","000")</f>
        <v>A_6200040</v>
      </c>
      <c r="L402" s="293" t="str">
        <f>_xll.EPMMemberDesc(K402)</f>
        <v>Fuel Expense - Oil burned for generation</v>
      </c>
      <c r="M402" s="293">
        <v>0</v>
      </c>
      <c r="N402" s="293">
        <v>0</v>
      </c>
      <c r="O402" s="293">
        <v>0</v>
      </c>
      <c r="P402" s="293">
        <v>524346</v>
      </c>
      <c r="Q402" s="293">
        <v>0</v>
      </c>
      <c r="R402" s="293">
        <v>502582</v>
      </c>
      <c r="S402" s="293">
        <v>361928</v>
      </c>
      <c r="T402" s="293">
        <v>470288</v>
      </c>
      <c r="U402" s="293">
        <v>440682</v>
      </c>
      <c r="V402" s="293">
        <v>442052</v>
      </c>
      <c r="W402" s="293">
        <v>430546</v>
      </c>
      <c r="X402" s="293">
        <v>407314</v>
      </c>
      <c r="Y402" s="293">
        <v>392716</v>
      </c>
      <c r="Z402" s="293">
        <v>321408</v>
      </c>
      <c r="AA402" s="293">
        <v>400117</v>
      </c>
      <c r="AB402" s="293">
        <v>4693979</v>
      </c>
    </row>
    <row r="403" spans="10:28" ht="15" customHeight="1" x14ac:dyDescent="0.25">
      <c r="J403" s="291" t="str">
        <f xml:space="preserve"> _xll.EPMOlapMemberO("[COSTCENTER].[PARENTH1].[1001]","","1001","","000")</f>
        <v>1001</v>
      </c>
      <c r="K403" s="304" t="str">
        <f xml:space="preserve"> _xll.EPMOlapMemberO("[C_ACCOUNT].[PARENTH1].[A_6200060]","","A_6200060","","000")</f>
        <v>A_6200060</v>
      </c>
      <c r="L403" s="293" t="str">
        <f>_xll.EPMMemberDesc(K403)</f>
        <v>Fuel Expense - SO2 credits. Nox</v>
      </c>
      <c r="M403" s="293">
        <v>0</v>
      </c>
      <c r="N403" s="293">
        <v>0</v>
      </c>
      <c r="O403" s="293">
        <v>0</v>
      </c>
      <c r="P403" s="293">
        <v>-8</v>
      </c>
      <c r="Q403" s="293">
        <v>0</v>
      </c>
      <c r="R403" s="293">
        <v>0</v>
      </c>
      <c r="S403" s="293">
        <v>-8</v>
      </c>
      <c r="T403" s="293">
        <v>0</v>
      </c>
      <c r="U403" s="293">
        <v>0</v>
      </c>
      <c r="V403" s="293">
        <v>-9</v>
      </c>
      <c r="W403" s="293">
        <v>0</v>
      </c>
      <c r="X403" s="293">
        <v>0</v>
      </c>
      <c r="Y403" s="293">
        <v>-8</v>
      </c>
      <c r="Z403" s="293">
        <v>0</v>
      </c>
      <c r="AA403" s="293">
        <v>0</v>
      </c>
      <c r="AB403" s="293">
        <v>-33</v>
      </c>
    </row>
    <row r="404" spans="10:28" ht="15" customHeight="1" x14ac:dyDescent="0.2">
      <c r="J404" s="286" t="str">
        <f xml:space="preserve"> _xll.EPMOlapMemberO("[COSTCENTER].[PARENTH1].[1001]","","1001","","000")</f>
        <v>1001</v>
      </c>
      <c r="K404" s="297" t="str">
        <f xml:space="preserve"> _xll.EPMOlapMemberO("[C_ACCOUNT].[PARENTH1].[PURCHASED_POWER]","","PURCHASED_POWER","","000")</f>
        <v>PURCHASED_POWER</v>
      </c>
      <c r="L404" s="286" t="str">
        <f>_xll.EPMMemberDesc(K404)</f>
        <v>Purchased Power</v>
      </c>
      <c r="M404" s="287">
        <v>0</v>
      </c>
      <c r="N404" s="287">
        <v>0</v>
      </c>
      <c r="O404" s="287">
        <v>0</v>
      </c>
      <c r="P404" s="287">
        <v>4605650.0991439996</v>
      </c>
      <c r="Q404" s="287">
        <v>3241410.0991440001</v>
      </c>
      <c r="R404" s="287">
        <v>658540.09638999996</v>
      </c>
      <c r="S404" s="287">
        <v>559930.10310980002</v>
      </c>
      <c r="T404" s="287">
        <v>831450.09683060006</v>
      </c>
      <c r="U404" s="287">
        <v>991380.09991510003</v>
      </c>
      <c r="V404" s="287">
        <v>625670.09947450005</v>
      </c>
      <c r="W404" s="287">
        <v>713430.10046590003</v>
      </c>
      <c r="X404" s="287">
        <v>451010.09837289999</v>
      </c>
      <c r="Y404" s="287">
        <v>3612740.0988134998</v>
      </c>
      <c r="Z404" s="287">
        <v>382070.09694080002</v>
      </c>
      <c r="AA404" s="287">
        <v>246940.10134719999</v>
      </c>
      <c r="AB404" s="287">
        <v>16920221.189948302</v>
      </c>
    </row>
    <row r="405" spans="10:28" ht="15" customHeight="1" x14ac:dyDescent="0.25">
      <c r="J405" s="291" t="str">
        <f xml:space="preserve"> _xll.EPMOlapMemberO("[COSTCENTER].[PARENTH1].[1001]","","1001","","000")</f>
        <v>1001</v>
      </c>
      <c r="K405" s="304" t="str">
        <f xml:space="preserve"> _xll.EPMOlapMemberO("[C_ACCOUNT].[PARENTH1].[A_6250100]","","A_6250100","","000")</f>
        <v>A_6250100</v>
      </c>
      <c r="L405" s="293" t="str">
        <f>_xll.EPMMemberDesc(K405)</f>
        <v>Purchased Power</v>
      </c>
      <c r="M405" s="293">
        <v>0</v>
      </c>
      <c r="N405" s="293">
        <v>0</v>
      </c>
      <c r="O405" s="293">
        <v>0</v>
      </c>
      <c r="P405" s="293">
        <v>4605650.0991439996</v>
      </c>
      <c r="Q405" s="293">
        <v>3241410.0991440001</v>
      </c>
      <c r="R405" s="293">
        <v>658540.09638999996</v>
      </c>
      <c r="S405" s="293">
        <v>559930.10310980002</v>
      </c>
      <c r="T405" s="293">
        <v>831450.09683060006</v>
      </c>
      <c r="U405" s="293">
        <v>991380.09991510003</v>
      </c>
      <c r="V405" s="293">
        <v>625670.09947450005</v>
      </c>
      <c r="W405" s="293">
        <v>713430.10046590003</v>
      </c>
      <c r="X405" s="293">
        <v>451010.09837289999</v>
      </c>
      <c r="Y405" s="293">
        <v>3612740.0988134998</v>
      </c>
      <c r="Z405" s="293">
        <v>382070.09694080002</v>
      </c>
      <c r="AA405" s="293">
        <v>246940.10134719999</v>
      </c>
      <c r="AB405" s="293">
        <v>16920221.189948302</v>
      </c>
    </row>
    <row r="406" spans="10:28" ht="15" customHeight="1" x14ac:dyDescent="0.2">
      <c r="J406" s="286" t="str">
        <f xml:space="preserve"> _xll.EPMOlapMemberO("[COSTCENTER].[PARENTH1].[1001]","","1001","","000")</f>
        <v>1001</v>
      </c>
      <c r="K406" s="297" t="str">
        <f xml:space="preserve"> _xll.EPMOlapMemberO("[C_ACCOUNT].[PARENTH1].[OM_OTHER]","","OM_OTHER","","000")</f>
        <v>OM_OTHER</v>
      </c>
      <c r="L406" s="286" t="str">
        <f>_xll.EPMMemberDesc(K406)</f>
        <v>O&amp;M Other</v>
      </c>
      <c r="M406" s="287">
        <v>0</v>
      </c>
      <c r="N406" s="287">
        <v>0</v>
      </c>
      <c r="O406" s="287">
        <v>0</v>
      </c>
      <c r="P406" s="287">
        <v>34475195.3655039</v>
      </c>
      <c r="Q406" s="287">
        <v>32847904.006348498</v>
      </c>
      <c r="R406" s="287">
        <v>37403695.968292698</v>
      </c>
      <c r="S406" s="287">
        <v>34079935.831743002</v>
      </c>
      <c r="T406" s="287">
        <v>33894365.156661697</v>
      </c>
      <c r="U406" s="287">
        <v>37467384.866681002</v>
      </c>
      <c r="V406" s="287">
        <v>35113973.118885301</v>
      </c>
      <c r="W406" s="287">
        <v>33613953.464953102</v>
      </c>
      <c r="X406" s="287">
        <v>38228455.447865702</v>
      </c>
      <c r="Y406" s="287">
        <v>34330206.260443501</v>
      </c>
      <c r="Z406" s="287">
        <v>33318904.893234599</v>
      </c>
      <c r="AA406" s="287">
        <v>37863263.294184901</v>
      </c>
      <c r="AB406" s="287">
        <v>422637237.67479789</v>
      </c>
    </row>
    <row r="407" spans="10:28" ht="15" customHeight="1" x14ac:dyDescent="0.2">
      <c r="J407" s="286" t="str">
        <f xml:space="preserve"> _xll.EPMOlapMemberO("[COSTCENTER].[PARENTH1].[1001]","","1001","","000")</f>
        <v>1001</v>
      </c>
      <c r="K407" s="298" t="str">
        <f xml:space="preserve"> _xll.EPMOlapMemberO("[C_ACCOUNT].[PARENTH1].[DEF_CLAUSE_RECOV_EXP]","","DEF_CLAUSE_RECOV_EXP","","000")</f>
        <v>DEF_CLAUSE_RECOV_EXP</v>
      </c>
      <c r="L407" s="286" t="str">
        <f>_xll.EPMMemberDesc(K407)</f>
        <v>Deferred Clause Recovery Expense</v>
      </c>
      <c r="M407" s="287">
        <v>0</v>
      </c>
      <c r="N407" s="287">
        <v>0</v>
      </c>
      <c r="O407" s="287">
        <v>0</v>
      </c>
      <c r="P407" s="287">
        <v>328017.95600000001</v>
      </c>
      <c r="Q407" s="287">
        <v>-214557.04399999999</v>
      </c>
      <c r="R407" s="287">
        <v>-509046.04399999999</v>
      </c>
      <c r="S407" s="287">
        <v>-504067.04399999999</v>
      </c>
      <c r="T407" s="287">
        <v>491735.95600000001</v>
      </c>
      <c r="U407" s="287">
        <v>822548.95600000001</v>
      </c>
      <c r="V407" s="287">
        <v>822548.95600000001</v>
      </c>
      <c r="W407" s="287">
        <v>822548.95600000001</v>
      </c>
      <c r="X407" s="287">
        <v>822548.95600000001</v>
      </c>
      <c r="Y407" s="287">
        <v>822548.95600000001</v>
      </c>
      <c r="Z407" s="287">
        <v>-8251.0439999999999</v>
      </c>
      <c r="AA407" s="287">
        <v>-583196.04399999999</v>
      </c>
      <c r="AB407" s="287">
        <v>3113381.4720000001</v>
      </c>
    </row>
    <row r="408" spans="10:28" ht="15" customHeight="1" x14ac:dyDescent="0.25">
      <c r="J408" s="291" t="str">
        <f xml:space="preserve"> _xll.EPMOlapMemberO("[COSTCENTER].[PARENTH1].[1001]","","1001","","000")</f>
        <v>1001</v>
      </c>
      <c r="K408" s="299" t="str">
        <f xml:space="preserve"> _xll.EPMOlapMemberO("[C_ACCOUNT].[PARENTH1].[A_4073051]","","A_4073051","","000")</f>
        <v>A_4073051</v>
      </c>
      <c r="L408" s="293" t="str">
        <f>_xll.EPMMemberDesc(K408)</f>
        <v>REG DR Defd Environmental  - Amortization</v>
      </c>
      <c r="M408" s="293">
        <v>0</v>
      </c>
      <c r="N408" s="293">
        <v>0</v>
      </c>
      <c r="O408" s="293">
        <v>0</v>
      </c>
      <c r="P408" s="293">
        <v>321105</v>
      </c>
      <c r="Q408" s="293">
        <v>321105</v>
      </c>
      <c r="R408" s="293">
        <v>321105</v>
      </c>
      <c r="S408" s="293">
        <v>321105</v>
      </c>
      <c r="T408" s="293">
        <v>321105</v>
      </c>
      <c r="U408" s="293">
        <v>321105</v>
      </c>
      <c r="V408" s="293">
        <v>321105</v>
      </c>
      <c r="W408" s="293">
        <v>321105</v>
      </c>
      <c r="X408" s="293">
        <v>321105</v>
      </c>
      <c r="Y408" s="293">
        <v>321105</v>
      </c>
      <c r="Z408" s="293">
        <v>321105</v>
      </c>
      <c r="AA408" s="293">
        <v>321106</v>
      </c>
      <c r="AB408" s="293">
        <v>3853261</v>
      </c>
    </row>
    <row r="409" spans="10:28" ht="15" customHeight="1" x14ac:dyDescent="0.25">
      <c r="J409" s="291" t="str">
        <f xml:space="preserve"> _xll.EPMOlapMemberO("[COSTCENTER].[PARENTH1].[1001]","","1001","","000")</f>
        <v>1001</v>
      </c>
      <c r="K409" s="299" t="str">
        <f xml:space="preserve"> _xll.EPMOlapMemberO("[C_ACCOUNT].[PARENTH1].[A_4073200]","","A_4073200","","000")</f>
        <v>A_4073200</v>
      </c>
      <c r="L409" s="293" t="str">
        <f>_xll.EPMMemberDesc(K409)</f>
        <v>REG DR Deferred PBOP FAS106</v>
      </c>
      <c r="M409" s="293">
        <v>0</v>
      </c>
      <c r="N409" s="293">
        <v>0</v>
      </c>
      <c r="O409" s="293">
        <v>0</v>
      </c>
      <c r="P409" s="293">
        <v>2350.6</v>
      </c>
      <c r="Q409" s="293">
        <v>2350.6</v>
      </c>
      <c r="R409" s="293">
        <v>2350.6</v>
      </c>
      <c r="S409" s="293">
        <v>2350.6</v>
      </c>
      <c r="T409" s="293">
        <v>2350.6</v>
      </c>
      <c r="U409" s="293">
        <v>2350.6</v>
      </c>
      <c r="V409" s="293">
        <v>2350.6</v>
      </c>
      <c r="W409" s="293">
        <v>2350.6</v>
      </c>
      <c r="X409" s="293">
        <v>2350.6</v>
      </c>
      <c r="Y409" s="293">
        <v>2350.6</v>
      </c>
      <c r="Z409" s="293">
        <v>2350.6</v>
      </c>
      <c r="AA409" s="293">
        <v>2350.6</v>
      </c>
      <c r="AB409" s="293">
        <v>28207.200000000001</v>
      </c>
    </row>
    <row r="410" spans="10:28" ht="15" customHeight="1" x14ac:dyDescent="0.25">
      <c r="J410" s="291" t="str">
        <f xml:space="preserve"> _xll.EPMOlapMemberO("[COSTCENTER].[PARENTH1].[1001]","","1001","","000")</f>
        <v>1001</v>
      </c>
      <c r="K410" s="299" t="str">
        <f xml:space="preserve"> _xll.EPMOlapMemberO("[C_ACCOUNT].[PARENTH1].[A_4074211]","","A_4074211","","000")</f>
        <v>A_4074211</v>
      </c>
      <c r="L410" s="293" t="str">
        <f>_xll.EPMMemberDesc(K410)</f>
        <v>REG CR FERC Wholesale (AFUDC) - Amortization</v>
      </c>
      <c r="M410" s="293">
        <v>0</v>
      </c>
      <c r="N410" s="293">
        <v>0</v>
      </c>
      <c r="O410" s="293">
        <v>0</v>
      </c>
      <c r="P410" s="293">
        <v>202.35599999999999</v>
      </c>
      <c r="Q410" s="293">
        <v>202.35599999999999</v>
      </c>
      <c r="R410" s="293">
        <v>202.35599999999999</v>
      </c>
      <c r="S410" s="293">
        <v>202.35599999999999</v>
      </c>
      <c r="T410" s="293">
        <v>202.35599999999999</v>
      </c>
      <c r="U410" s="293">
        <v>202.35599999999999</v>
      </c>
      <c r="V410" s="293">
        <v>202.35599999999999</v>
      </c>
      <c r="W410" s="293">
        <v>202.35599999999999</v>
      </c>
      <c r="X410" s="293">
        <v>202.35599999999999</v>
      </c>
      <c r="Y410" s="293">
        <v>202.35599999999999</v>
      </c>
      <c r="Z410" s="293">
        <v>202.35599999999999</v>
      </c>
      <c r="AA410" s="293">
        <v>202.35599999999999</v>
      </c>
      <c r="AB410" s="293">
        <v>2428.2719999999999</v>
      </c>
    </row>
    <row r="411" spans="10:28" ht="15" customHeight="1" x14ac:dyDescent="0.25">
      <c r="J411" s="291" t="str">
        <f xml:space="preserve"> _xll.EPMOlapMemberO("[COSTCENTER].[PARENTH1].[1001]","","1001","","000")</f>
        <v>1001</v>
      </c>
      <c r="K411" s="299" t="str">
        <f xml:space="preserve"> _xll.EPMOlapMemberO("[C_ACCOUNT].[PARENTH1].[A_4074040]","","A_4074040","","000")</f>
        <v>A_4074040</v>
      </c>
      <c r="L411" s="293" t="str">
        <f>_xll.EPMMemberDesc(K411)</f>
        <v>REG CR Defd Conservation - Elec</v>
      </c>
      <c r="M411" s="293">
        <v>0</v>
      </c>
      <c r="N411" s="293">
        <v>0</v>
      </c>
      <c r="O411" s="293">
        <v>0</v>
      </c>
      <c r="P411" s="293">
        <v>-106064</v>
      </c>
      <c r="Q411" s="293">
        <v>-191560</v>
      </c>
      <c r="R411" s="293">
        <v>-246325</v>
      </c>
      <c r="S411" s="293">
        <v>-288445</v>
      </c>
      <c r="T411" s="293">
        <v>0</v>
      </c>
      <c r="U411" s="293">
        <v>0</v>
      </c>
      <c r="V411" s="293">
        <v>0</v>
      </c>
      <c r="W411" s="293">
        <v>0</v>
      </c>
      <c r="X411" s="293">
        <v>0</v>
      </c>
      <c r="Y411" s="293">
        <v>0</v>
      </c>
      <c r="Z411" s="293">
        <v>-26337</v>
      </c>
      <c r="AA411" s="293">
        <v>-190950</v>
      </c>
      <c r="AB411" s="293">
        <v>-1049681</v>
      </c>
    </row>
    <row r="412" spans="10:28" ht="15" customHeight="1" x14ac:dyDescent="0.25">
      <c r="J412" s="291" t="str">
        <f xml:space="preserve"> _xll.EPMOlapMemberO("[COSTCENTER].[PARENTH1].[1001]","","1001","","000")</f>
        <v>1001</v>
      </c>
      <c r="K412" s="299" t="str">
        <f xml:space="preserve"> _xll.EPMOlapMemberO("[C_ACCOUNT].[PARENTH1].[A_4074050]","","A_4074050","","000")</f>
        <v>A_4074050</v>
      </c>
      <c r="L412" s="293" t="str">
        <f>_xll.EPMMemberDesc(K412)</f>
        <v>REG CR Defd Environmental</v>
      </c>
      <c r="M412" s="293">
        <v>0</v>
      </c>
      <c r="N412" s="293">
        <v>0</v>
      </c>
      <c r="O412" s="293">
        <v>0</v>
      </c>
      <c r="P412" s="293">
        <v>-388467</v>
      </c>
      <c r="Q412" s="293">
        <v>-694684</v>
      </c>
      <c r="R412" s="293">
        <v>-787504</v>
      </c>
      <c r="S412" s="293">
        <v>-541109</v>
      </c>
      <c r="T412" s="293">
        <v>-152551</v>
      </c>
      <c r="U412" s="293">
        <v>0</v>
      </c>
      <c r="V412" s="293">
        <v>0</v>
      </c>
      <c r="W412" s="293">
        <v>0</v>
      </c>
      <c r="X412" s="293">
        <v>0</v>
      </c>
      <c r="Y412" s="293">
        <v>0</v>
      </c>
      <c r="Z412" s="293">
        <v>-326998</v>
      </c>
      <c r="AA412" s="293">
        <v>-521353</v>
      </c>
      <c r="AB412" s="293">
        <v>-3412666</v>
      </c>
    </row>
    <row r="413" spans="10:28" ht="15" customHeight="1" x14ac:dyDescent="0.25">
      <c r="J413" s="291" t="str">
        <f xml:space="preserve"> _xll.EPMOlapMemberO("[COSTCENTER].[PARENTH1].[1001]","","1001","","000")</f>
        <v>1001</v>
      </c>
      <c r="K413" s="299" t="str">
        <f xml:space="preserve"> _xll.EPMOlapMemberO("[C_ACCOUNT].[PARENTH1].[A_4073091]","","A_4073091","","000")</f>
        <v>A_4073091</v>
      </c>
      <c r="L413" s="293" t="str">
        <f>_xll.EPMMemberDesc(K413)</f>
        <v>REG DR Defd SPPCRC – Amortization</v>
      </c>
      <c r="M413" s="293">
        <v>0</v>
      </c>
      <c r="N413" s="293">
        <v>0</v>
      </c>
      <c r="O413" s="293">
        <v>0</v>
      </c>
      <c r="P413" s="293">
        <v>498891</v>
      </c>
      <c r="Q413" s="293">
        <v>498891</v>
      </c>
      <c r="R413" s="293">
        <v>498891</v>
      </c>
      <c r="S413" s="293">
        <v>498891</v>
      </c>
      <c r="T413" s="293">
        <v>498891</v>
      </c>
      <c r="U413" s="293">
        <v>498891</v>
      </c>
      <c r="V413" s="293">
        <v>498891</v>
      </c>
      <c r="W413" s="293">
        <v>498891</v>
      </c>
      <c r="X413" s="293">
        <v>498891</v>
      </c>
      <c r="Y413" s="293">
        <v>498891</v>
      </c>
      <c r="Z413" s="293">
        <v>498891</v>
      </c>
      <c r="AA413" s="293">
        <v>498895</v>
      </c>
      <c r="AB413" s="293">
        <v>5986696</v>
      </c>
    </row>
    <row r="414" spans="10:28" ht="15" customHeight="1" x14ac:dyDescent="0.25">
      <c r="J414" s="291" t="str">
        <f xml:space="preserve"> _xll.EPMOlapMemberO("[COSTCENTER].[PARENTH1].[1001]","","1001","","000")</f>
        <v>1001</v>
      </c>
      <c r="K414" s="299" t="str">
        <f xml:space="preserve"> _xll.EPMOlapMemberO("[C_ACCOUNT].[PARENTH1].[A_4074090]","","A_4074090","","000")</f>
        <v>A_4074090</v>
      </c>
      <c r="L414" s="293" t="str">
        <f>_xll.EPMMemberDesc(K414)</f>
        <v>REG CR Defd SPPCRC</v>
      </c>
      <c r="M414" s="293">
        <v>0</v>
      </c>
      <c r="N414" s="293">
        <v>0</v>
      </c>
      <c r="O414" s="293">
        <v>0</v>
      </c>
      <c r="P414" s="293">
        <v>0</v>
      </c>
      <c r="Q414" s="293">
        <v>-150862</v>
      </c>
      <c r="R414" s="293">
        <v>-297766</v>
      </c>
      <c r="S414" s="293">
        <v>-497062</v>
      </c>
      <c r="T414" s="293">
        <v>-178262</v>
      </c>
      <c r="U414" s="293">
        <v>0</v>
      </c>
      <c r="V414" s="293">
        <v>0</v>
      </c>
      <c r="W414" s="293">
        <v>0</v>
      </c>
      <c r="X414" s="293">
        <v>0</v>
      </c>
      <c r="Y414" s="293">
        <v>0</v>
      </c>
      <c r="Z414" s="293">
        <v>-477465</v>
      </c>
      <c r="AA414" s="293">
        <v>-693447</v>
      </c>
      <c r="AB414" s="293">
        <v>-2294864</v>
      </c>
    </row>
    <row r="415" spans="10:28" ht="15" customHeight="1" x14ac:dyDescent="0.2">
      <c r="J415" s="286" t="str">
        <f xml:space="preserve"> _xll.EPMOlapMemberO("[COSTCENTER].[PARENTH1].[1001]","","1001","","000")</f>
        <v>1001</v>
      </c>
      <c r="K415" s="298" t="str">
        <f xml:space="preserve"> _xll.EPMOlapMemberO("[C_ACCOUNT].[PARENTH1].[LABOR]","","LABOR","","000")</f>
        <v>LABOR</v>
      </c>
      <c r="L415" s="286" t="str">
        <f>_xll.EPMMemberDesc(K415)</f>
        <v>Labor</v>
      </c>
      <c r="M415" s="287">
        <v>0</v>
      </c>
      <c r="N415" s="287">
        <v>0</v>
      </c>
      <c r="O415" s="287">
        <v>0</v>
      </c>
      <c r="P415" s="287">
        <v>13014944.129648799</v>
      </c>
      <c r="Q415" s="287">
        <v>11923084.568907799</v>
      </c>
      <c r="R415" s="287">
        <v>13480310.7381707</v>
      </c>
      <c r="S415" s="287">
        <v>13430299.2843778</v>
      </c>
      <c r="T415" s="287">
        <v>12685969.9318386</v>
      </c>
      <c r="U415" s="287">
        <v>13389673.479588401</v>
      </c>
      <c r="V415" s="287">
        <v>13726018.8796799</v>
      </c>
      <c r="W415" s="287">
        <v>13317283.0079937</v>
      </c>
      <c r="X415" s="287">
        <v>13614733.206666799</v>
      </c>
      <c r="Y415" s="287">
        <v>12995841.0639307</v>
      </c>
      <c r="Z415" s="287">
        <v>13126012.3392193</v>
      </c>
      <c r="AA415" s="287">
        <v>14061113.327212401</v>
      </c>
      <c r="AB415" s="287">
        <v>158765283.95723489</v>
      </c>
    </row>
    <row r="416" spans="10:28" ht="15" customHeight="1" x14ac:dyDescent="0.25">
      <c r="J416" s="291" t="str">
        <f xml:space="preserve"> _xll.EPMOlapMemberO("[COSTCENTER].[PARENTH1].[1001]","","1001","","000")</f>
        <v>1001</v>
      </c>
      <c r="K416" s="299" t="str">
        <f xml:space="preserve"> _xll.EPMOlapMemberO("[C_ACCOUNT].[PARENTH1].[A_6010130]","","A_6010130","","000")</f>
        <v>A_6010130</v>
      </c>
      <c r="L416" s="293" t="str">
        <f>_xll.EPMMemberDesc(K416)</f>
        <v>Labor Exempt - Non-Productive Time</v>
      </c>
      <c r="M416" s="293">
        <v>0</v>
      </c>
      <c r="N416" s="293">
        <v>0</v>
      </c>
      <c r="O416" s="293">
        <v>0</v>
      </c>
      <c r="P416" s="293">
        <v>6592.9219999999996</v>
      </c>
      <c r="Q416" s="293">
        <v>5803.9380000000001</v>
      </c>
      <c r="R416" s="293">
        <v>6330.268</v>
      </c>
      <c r="S416" s="293">
        <v>6330.268</v>
      </c>
      <c r="T416" s="293">
        <v>6066.5919999999996</v>
      </c>
      <c r="U416" s="293">
        <v>6330.268</v>
      </c>
      <c r="V416" s="293">
        <v>6592.9219999999996</v>
      </c>
      <c r="W416" s="293">
        <v>6066.5919999999996</v>
      </c>
      <c r="X416" s="293">
        <v>6330.268</v>
      </c>
      <c r="Y416" s="293">
        <v>6330.268</v>
      </c>
      <c r="Z416" s="293">
        <v>6066.5919999999996</v>
      </c>
      <c r="AA416" s="293">
        <v>6593.9440000000004</v>
      </c>
      <c r="AB416" s="293">
        <v>75434.842000000004</v>
      </c>
    </row>
    <row r="417" spans="10:28" ht="15" customHeight="1" x14ac:dyDescent="0.25">
      <c r="J417" s="291" t="str">
        <f xml:space="preserve"> _xll.EPMOlapMemberO("[COSTCENTER].[PARENTH1].[1001]","","1001","","000")</f>
        <v>1001</v>
      </c>
      <c r="K417" s="299" t="str">
        <f xml:space="preserve"> _xll.EPMOlapMemberO("[C_ACCOUNT].[PARENTH1].[A_6010230]","","A_6010230","","000")</f>
        <v>A_6010230</v>
      </c>
      <c r="L417" s="293" t="str">
        <f>_xll.EPMMemberDesc(K417)</f>
        <v>Labor Non Exempt - Non-Productive Time</v>
      </c>
      <c r="M417" s="293">
        <v>0</v>
      </c>
      <c r="N417" s="293">
        <v>0</v>
      </c>
      <c r="O417" s="293">
        <v>0</v>
      </c>
      <c r="P417" s="293">
        <v>4911.67</v>
      </c>
      <c r="Q417" s="293">
        <v>4911.67</v>
      </c>
      <c r="R417" s="293">
        <v>4911.67</v>
      </c>
      <c r="S417" s="293">
        <v>4911.67</v>
      </c>
      <c r="T417" s="293">
        <v>4911.67</v>
      </c>
      <c r="U417" s="293">
        <v>4911.67</v>
      </c>
      <c r="V417" s="293">
        <v>4911.67</v>
      </c>
      <c r="W417" s="293">
        <v>4911.67</v>
      </c>
      <c r="X417" s="293">
        <v>4911.67</v>
      </c>
      <c r="Y417" s="293">
        <v>4911.67</v>
      </c>
      <c r="Z417" s="293">
        <v>4911.67</v>
      </c>
      <c r="AA417" s="293">
        <v>4911.67</v>
      </c>
      <c r="AB417" s="293">
        <v>58940.04</v>
      </c>
    </row>
    <row r="418" spans="10:28" ht="15" customHeight="1" x14ac:dyDescent="0.25">
      <c r="J418" s="291" t="str">
        <f xml:space="preserve"> _xll.EPMOlapMemberO("[COSTCENTER].[PARENTH1].[1001]","","1001","","000")</f>
        <v>1001</v>
      </c>
      <c r="K418" s="299" t="str">
        <f xml:space="preserve"> _xll.EPMOlapMemberO("[C_ACCOUNT].[PARENTH1].[A_6010900]","","A_6010900","","000")</f>
        <v>A_6010900</v>
      </c>
      <c r="L418" s="293" t="str">
        <f>_xll.EPMMemberDesc(K418)</f>
        <v>Labor Commissions</v>
      </c>
      <c r="M418" s="293">
        <v>0</v>
      </c>
      <c r="N418" s="293">
        <v>0</v>
      </c>
      <c r="O418" s="293">
        <v>0</v>
      </c>
      <c r="P418" s="293">
        <v>-133143.64265600001</v>
      </c>
      <c r="Q418" s="293">
        <v>-132609.55867319999</v>
      </c>
      <c r="R418" s="293">
        <v>-128103.4270278</v>
      </c>
      <c r="S418" s="293">
        <v>-132997.02419620001</v>
      </c>
      <c r="T418" s="293">
        <v>-132769.485545</v>
      </c>
      <c r="U418" s="293">
        <v>-132716.8277204</v>
      </c>
      <c r="V418" s="293">
        <v>-132192.02004060001</v>
      </c>
      <c r="W418" s="293">
        <v>-131912.48989550001</v>
      </c>
      <c r="X418" s="293">
        <v>-127769.2836043</v>
      </c>
      <c r="Y418" s="293">
        <v>-132615.67594109999</v>
      </c>
      <c r="Z418" s="293">
        <v>-132890.87135830001</v>
      </c>
      <c r="AA418" s="293">
        <v>-133523.2644975</v>
      </c>
      <c r="AB418" s="293">
        <v>-1583243.5711558999</v>
      </c>
    </row>
    <row r="419" spans="10:28" ht="15" customHeight="1" x14ac:dyDescent="0.25">
      <c r="J419" s="291" t="str">
        <f xml:space="preserve"> _xll.EPMOlapMemberO("[COSTCENTER].[PARENTH1].[1001]","","1001","","000")</f>
        <v>1001</v>
      </c>
      <c r="K419" s="299" t="str">
        <f xml:space="preserve"> _xll.EPMOlapMemberO("[C_ACCOUNT].[PARENTH1].[A_6010910]","","A_6010910","","000")</f>
        <v>A_6010910</v>
      </c>
      <c r="L419" s="293" t="str">
        <f>_xll.EPMMemberDesc(K419)</f>
        <v>Labor Off-Cycle Bonus</v>
      </c>
      <c r="M419" s="293">
        <v>0</v>
      </c>
      <c r="N419" s="293">
        <v>0</v>
      </c>
      <c r="O419" s="293">
        <v>0</v>
      </c>
      <c r="P419" s="293">
        <v>86222.602186899996</v>
      </c>
      <c r="Q419" s="293">
        <v>97827.777586900003</v>
      </c>
      <c r="R419" s="293">
        <v>99180.679689900004</v>
      </c>
      <c r="S419" s="293">
        <v>108917.7665311</v>
      </c>
      <c r="T419" s="293">
        <v>102891.33709659999</v>
      </c>
      <c r="U419" s="293">
        <v>98444.609913499997</v>
      </c>
      <c r="V419" s="293">
        <v>97564.103963100002</v>
      </c>
      <c r="W419" s="293">
        <v>101622.39600759999</v>
      </c>
      <c r="X419" s="293">
        <v>109205.66760830001</v>
      </c>
      <c r="Y419" s="293">
        <v>97885.967174100006</v>
      </c>
      <c r="Z419" s="293">
        <v>102006.4200952</v>
      </c>
      <c r="AA419" s="293">
        <v>100513.7168578</v>
      </c>
      <c r="AB419" s="293">
        <v>1202283.0447110001</v>
      </c>
    </row>
    <row r="420" spans="10:28" ht="15" customHeight="1" x14ac:dyDescent="0.25">
      <c r="J420" s="291" t="str">
        <f xml:space="preserve"> _xll.EPMOlapMemberO("[COSTCENTER].[PARENTH1].[1001]","","1001","","000")</f>
        <v>1001</v>
      </c>
      <c r="K420" s="299" t="str">
        <f xml:space="preserve"> _xll.EPMOlapMemberO("[C_ACCOUNT].[PARENTH1].[A_6018999]","","A_6018999","","000")</f>
        <v>A_6018999</v>
      </c>
      <c r="L420" s="293" t="str">
        <f>_xll.EPMMemberDesc(K420)</f>
        <v>Labor Expense Reclass</v>
      </c>
      <c r="M420" s="293">
        <v>0</v>
      </c>
      <c r="N420" s="293">
        <v>0</v>
      </c>
      <c r="O420" s="293">
        <v>0</v>
      </c>
      <c r="P420" s="293">
        <v>10314.804060300001</v>
      </c>
      <c r="Q420" s="293">
        <v>82289.806158000007</v>
      </c>
      <c r="R420" s="293">
        <v>58936.590115999999</v>
      </c>
      <c r="S420" s="293">
        <v>142994.2204701</v>
      </c>
      <c r="T420" s="293">
        <v>65427.462112200003</v>
      </c>
      <c r="U420" s="293">
        <v>60305.2607775</v>
      </c>
      <c r="V420" s="293">
        <v>53261.774815199999</v>
      </c>
      <c r="W420" s="293">
        <v>67999.434735400006</v>
      </c>
      <c r="X420" s="293">
        <v>125848.7355221</v>
      </c>
      <c r="Y420" s="293">
        <v>30027.487191299999</v>
      </c>
      <c r="Z420" s="293">
        <v>34557.714735399997</v>
      </c>
      <c r="AA420" s="293">
        <v>23420.283042800002</v>
      </c>
      <c r="AB420" s="293">
        <v>755383.57373629999</v>
      </c>
    </row>
    <row r="421" spans="10:28" ht="15" customHeight="1" x14ac:dyDescent="0.25">
      <c r="J421" s="291" t="str">
        <f xml:space="preserve"> _xll.EPMOlapMemberO("[COSTCENTER].[PARENTH1].[1001]","","1001","","000")</f>
        <v>1001</v>
      </c>
      <c r="K421" s="299" t="str">
        <f xml:space="preserve"> _xll.EPMOlapMemberO("[C_ACCOUNT].[PARENTH1].[A_6019000]","","A_6019000","","000")</f>
        <v>A_6019000</v>
      </c>
      <c r="L421" s="293" t="str">
        <f>_xll.EPMMemberDesc(K421)</f>
        <v>Labor Expense sent to Balance Sheet</v>
      </c>
      <c r="M421" s="293">
        <v>0</v>
      </c>
      <c r="N421" s="293">
        <v>0</v>
      </c>
      <c r="O421" s="293">
        <v>0</v>
      </c>
      <c r="P421" s="293">
        <v>-41350</v>
      </c>
      <c r="Q421" s="293">
        <v>-41350</v>
      </c>
      <c r="R421" s="293">
        <v>-41350</v>
      </c>
      <c r="S421" s="293">
        <v>-41350</v>
      </c>
      <c r="T421" s="293">
        <v>-41350</v>
      </c>
      <c r="U421" s="293">
        <v>-41350</v>
      </c>
      <c r="V421" s="293">
        <v>-41350</v>
      </c>
      <c r="W421" s="293">
        <v>-41350</v>
      </c>
      <c r="X421" s="293">
        <v>-41350</v>
      </c>
      <c r="Y421" s="293">
        <v>-41350</v>
      </c>
      <c r="Z421" s="293">
        <v>-41350</v>
      </c>
      <c r="AA421" s="293">
        <v>-41349.85</v>
      </c>
      <c r="AB421" s="293">
        <v>-496199.85</v>
      </c>
    </row>
    <row r="422" spans="10:28" ht="15" customHeight="1" x14ac:dyDescent="0.25">
      <c r="J422" s="291" t="str">
        <f xml:space="preserve"> _xll.EPMOlapMemberO("[COSTCENTER].[PARENTH1].[1001]","","1001","","000")</f>
        <v>1001</v>
      </c>
      <c r="K422" s="299" t="str">
        <f xml:space="preserve"> _xll.EPMOlapMemberO("[C_ACCOUNT].[PARENTH1].[A_A6010000]","","A_A6010000","","000")</f>
        <v>A_A6010000</v>
      </c>
      <c r="L422" s="293" t="str">
        <f>_xll.EPMMemberDesc(K422)</f>
        <v>Assessed Labor Expense</v>
      </c>
      <c r="M422" s="293">
        <v>0</v>
      </c>
      <c r="N422" s="293">
        <v>0</v>
      </c>
      <c r="O422" s="293">
        <v>0</v>
      </c>
      <c r="P422" s="293">
        <v>-4276.25</v>
      </c>
      <c r="Q422" s="293">
        <v>-4276.25</v>
      </c>
      <c r="R422" s="293">
        <v>-4276.25</v>
      </c>
      <c r="S422" s="293">
        <v>-4276.25</v>
      </c>
      <c r="T422" s="293">
        <v>-4276.25</v>
      </c>
      <c r="U422" s="293">
        <v>-4276.25</v>
      </c>
      <c r="V422" s="293">
        <v>-4276.25</v>
      </c>
      <c r="W422" s="293">
        <v>-4276.25</v>
      </c>
      <c r="X422" s="293">
        <v>-4276.25</v>
      </c>
      <c r="Y422" s="293">
        <v>-4276.25</v>
      </c>
      <c r="Z422" s="293">
        <v>-4276.25</v>
      </c>
      <c r="AA422" s="293">
        <v>-4276.3100000000004</v>
      </c>
      <c r="AB422" s="293">
        <v>-51315.06</v>
      </c>
    </row>
    <row r="423" spans="10:28" ht="15" customHeight="1" x14ac:dyDescent="0.25">
      <c r="J423" s="291" t="str">
        <f xml:space="preserve"> _xll.EPMOlapMemberO("[COSTCENTER].[PARENTH1].[1001]","","1001","","000")</f>
        <v>1001</v>
      </c>
      <c r="K423" s="299" t="str">
        <f xml:space="preserve"> _xll.EPMOlapMemberO("[C_ACCOUNT].[PARENTH1].[A_S6010000]","","A_S6010000","","000")</f>
        <v>A_S6010000</v>
      </c>
      <c r="L423" s="293" t="str">
        <f>_xll.EPMMemberDesc(K423)</f>
        <v>Settled Labor Expense</v>
      </c>
      <c r="M423" s="293">
        <v>0</v>
      </c>
      <c r="N423" s="293">
        <v>0</v>
      </c>
      <c r="O423" s="293">
        <v>0</v>
      </c>
      <c r="P423" s="293">
        <v>-119065.12024439999</v>
      </c>
      <c r="Q423" s="293">
        <v>-129087.7146436</v>
      </c>
      <c r="R423" s="293">
        <v>-181585.72663749999</v>
      </c>
      <c r="S423" s="293">
        <v>-204562.94821979999</v>
      </c>
      <c r="T423" s="293">
        <v>-204327.61801139999</v>
      </c>
      <c r="U423" s="293">
        <v>-204561.92621979999</v>
      </c>
      <c r="V423" s="293">
        <v>-201642.34753160001</v>
      </c>
      <c r="W423" s="293">
        <v>-207483.5489078</v>
      </c>
      <c r="X423" s="293">
        <v>-204561.92621979999</v>
      </c>
      <c r="Y423" s="293">
        <v>-201404.7209326</v>
      </c>
      <c r="Z423" s="293">
        <v>-200883.5489078</v>
      </c>
      <c r="AA423" s="293">
        <v>-191191.82594929999</v>
      </c>
      <c r="AB423" s="293">
        <v>-2250358.9724253998</v>
      </c>
    </row>
    <row r="424" spans="10:28" ht="15" customHeight="1" x14ac:dyDescent="0.25">
      <c r="J424" s="291" t="str">
        <f xml:space="preserve"> _xll.EPMOlapMemberO("[COSTCENTER].[PARENTH1].[1001]","","1001","","000")</f>
        <v>1001</v>
      </c>
      <c r="K424" s="299" t="str">
        <f xml:space="preserve"> _xll.EPMOlapMemberO("[C_ACCOUNT].[PARENTH1].[A_S6019900]","","A_S6019900","","000")</f>
        <v>A_S6019900</v>
      </c>
      <c r="L424" s="293" t="str">
        <f>_xll.EPMMemberDesc(K424)</f>
        <v>Settled ST Labor &amp; Benefits Expense</v>
      </c>
      <c r="M424" s="293">
        <v>0</v>
      </c>
      <c r="N424" s="293">
        <v>0</v>
      </c>
      <c r="O424" s="293">
        <v>0</v>
      </c>
      <c r="P424" s="293">
        <v>12406905.7888026</v>
      </c>
      <c r="Q424" s="293">
        <v>11353870.6900141</v>
      </c>
      <c r="R424" s="293">
        <v>12833650.0173983</v>
      </c>
      <c r="S424" s="293">
        <v>12727108.372335801</v>
      </c>
      <c r="T424" s="293">
        <v>12121537.1661934</v>
      </c>
      <c r="U424" s="293">
        <v>12765150.0015423</v>
      </c>
      <c r="V424" s="293">
        <v>13068504.7870504</v>
      </c>
      <c r="W424" s="293">
        <v>12626621.1358713</v>
      </c>
      <c r="X424" s="293">
        <v>12858088.8467423</v>
      </c>
      <c r="Y424" s="293">
        <v>12442865.0088847</v>
      </c>
      <c r="Z424" s="293">
        <v>12557878.1800474</v>
      </c>
      <c r="AA424" s="293">
        <v>13400339.4592833</v>
      </c>
      <c r="AB424" s="293">
        <v>151162519.45416591</v>
      </c>
    </row>
    <row r="425" spans="10:28" ht="15" customHeight="1" x14ac:dyDescent="0.25">
      <c r="J425" s="291" t="str">
        <f xml:space="preserve"> _xll.EPMOlapMemberO("[COSTCENTER].[PARENTH1].[1001]","","1001","","000")</f>
        <v>1001</v>
      </c>
      <c r="K425" s="299" t="str">
        <f xml:space="preserve"> _xll.EPMOlapMemberO("[C_ACCOUNT].[PARENTH1].[A_S6019910]","","A_S6019910","","000")</f>
        <v>A_S6019910</v>
      </c>
      <c r="L425" s="293" t="str">
        <f>_xll.EPMMemberDesc(K425)</f>
        <v>Settled OT Labor &amp; Benefits Expense</v>
      </c>
      <c r="M425" s="293">
        <v>0</v>
      </c>
      <c r="N425" s="293">
        <v>0</v>
      </c>
      <c r="O425" s="293">
        <v>0</v>
      </c>
      <c r="P425" s="293">
        <v>797831.35549939994</v>
      </c>
      <c r="Q425" s="293">
        <v>685704.21046560002</v>
      </c>
      <c r="R425" s="293">
        <v>832616.91663180001</v>
      </c>
      <c r="S425" s="293">
        <v>823223.20945680002</v>
      </c>
      <c r="T425" s="293">
        <v>767859.05799280002</v>
      </c>
      <c r="U425" s="293">
        <v>837436.67329529999</v>
      </c>
      <c r="V425" s="293">
        <v>874644.23942340002</v>
      </c>
      <c r="W425" s="293">
        <v>895084.06818269996</v>
      </c>
      <c r="X425" s="293">
        <v>888305.47861820005</v>
      </c>
      <c r="Y425" s="293">
        <v>793467.30955430004</v>
      </c>
      <c r="Z425" s="293">
        <v>799992.4326074</v>
      </c>
      <c r="AA425" s="293">
        <v>895675.50447529997</v>
      </c>
      <c r="AB425" s="293">
        <v>9891840.4562030006</v>
      </c>
    </row>
    <row r="426" spans="10:28" ht="15" customHeight="1" x14ac:dyDescent="0.2">
      <c r="J426" s="286" t="str">
        <f xml:space="preserve"> _xll.EPMOlapMemberO("[COSTCENTER].[PARENTH1].[1001]","","1001","","000")</f>
        <v>1001</v>
      </c>
      <c r="K426" s="298" t="str">
        <f xml:space="preserve"> _xll.EPMOlapMemberO("[C_ACCOUNT].[PARENTH1].[BENEFITS]","","BENEFITS","","000")</f>
        <v>BENEFITS</v>
      </c>
      <c r="L426" s="286" t="str">
        <f>_xll.EPMMemberDesc(K426)</f>
        <v>Benefits</v>
      </c>
      <c r="M426" s="287">
        <v>0</v>
      </c>
      <c r="N426" s="287">
        <v>0</v>
      </c>
      <c r="O426" s="287">
        <v>0</v>
      </c>
      <c r="P426" s="287">
        <v>5521121.7271624003</v>
      </c>
      <c r="Q426" s="287">
        <v>6203973.7478242004</v>
      </c>
      <c r="R426" s="287">
        <v>7013716.4896023003</v>
      </c>
      <c r="S426" s="287">
        <v>5396210.1254783999</v>
      </c>
      <c r="T426" s="287">
        <v>6004997.2507990003</v>
      </c>
      <c r="U426" s="287">
        <v>7004099.1685894998</v>
      </c>
      <c r="V426" s="287">
        <v>5289747.4840558004</v>
      </c>
      <c r="W426" s="287">
        <v>5922278.0867036004</v>
      </c>
      <c r="X426" s="287">
        <v>6948256.9215618996</v>
      </c>
      <c r="Y426" s="287">
        <v>5369288.0222236002</v>
      </c>
      <c r="Z426" s="287">
        <v>5375777.5695487</v>
      </c>
      <c r="AA426" s="287">
        <v>7428272.4607744999</v>
      </c>
      <c r="AB426" s="287">
        <v>73477739.054323897</v>
      </c>
    </row>
    <row r="427" spans="10:28" ht="15" customHeight="1" x14ac:dyDescent="0.25">
      <c r="J427" s="291" t="str">
        <f xml:space="preserve"> _xll.EPMOlapMemberO("[COSTCENTER].[PARENTH1].[1001]","","1001","","000")</f>
        <v>1001</v>
      </c>
      <c r="K427" s="299" t="str">
        <f xml:space="preserve"> _xll.EPMOlapMemberO("[C_ACCOUNT].[PARENTH1].[A_6020010]","","A_6020010","","000")</f>
        <v>A_6020010</v>
      </c>
      <c r="L427" s="293" t="str">
        <f>_xll.EPMMemberDesc(K427)</f>
        <v>Benefit Plan Admin Fees</v>
      </c>
      <c r="M427" s="293">
        <v>0</v>
      </c>
      <c r="N427" s="293">
        <v>0</v>
      </c>
      <c r="O427" s="293">
        <v>0</v>
      </c>
      <c r="P427" s="293">
        <v>45749.166666700003</v>
      </c>
      <c r="Q427" s="293">
        <v>45749.166666700003</v>
      </c>
      <c r="R427" s="293">
        <v>45749.166666700003</v>
      </c>
      <c r="S427" s="293">
        <v>45749.166666700003</v>
      </c>
      <c r="T427" s="293">
        <v>45749.166666700003</v>
      </c>
      <c r="U427" s="293">
        <v>45749.166666700003</v>
      </c>
      <c r="V427" s="293">
        <v>45749.166666700003</v>
      </c>
      <c r="W427" s="293">
        <v>45749.166666700003</v>
      </c>
      <c r="X427" s="293">
        <v>45749.166666700003</v>
      </c>
      <c r="Y427" s="293">
        <v>45749.166666700003</v>
      </c>
      <c r="Z427" s="293">
        <v>45749.166666700003</v>
      </c>
      <c r="AA427" s="293">
        <v>45749.166666700003</v>
      </c>
      <c r="AB427" s="293">
        <v>548990.0000004</v>
      </c>
    </row>
    <row r="428" spans="10:28" ht="15" customHeight="1" x14ac:dyDescent="0.25">
      <c r="J428" s="291" t="str">
        <f xml:space="preserve"> _xll.EPMOlapMemberO("[COSTCENTER].[PARENTH1].[1001]","","1001","","000")</f>
        <v>1001</v>
      </c>
      <c r="K428" s="299" t="str">
        <f xml:space="preserve"> _xll.EPMOlapMemberO("[C_ACCOUNT].[PARENTH1].[A_6020020]","","A_6020020","","000")</f>
        <v>A_6020020</v>
      </c>
      <c r="L428" s="293" t="str">
        <f>_xll.EPMMemberDesc(K428)</f>
        <v>Tuition Reimbursement</v>
      </c>
      <c r="M428" s="293">
        <v>0</v>
      </c>
      <c r="N428" s="293">
        <v>0</v>
      </c>
      <c r="O428" s="293">
        <v>0</v>
      </c>
      <c r="P428" s="293">
        <v>25750</v>
      </c>
      <c r="Q428" s="293">
        <v>25750</v>
      </c>
      <c r="R428" s="293">
        <v>25750</v>
      </c>
      <c r="S428" s="293">
        <v>25750</v>
      </c>
      <c r="T428" s="293">
        <v>25750</v>
      </c>
      <c r="U428" s="293">
        <v>25750</v>
      </c>
      <c r="V428" s="293">
        <v>25750</v>
      </c>
      <c r="W428" s="293">
        <v>25750</v>
      </c>
      <c r="X428" s="293">
        <v>25750</v>
      </c>
      <c r="Y428" s="293">
        <v>25750</v>
      </c>
      <c r="Z428" s="293">
        <v>25750</v>
      </c>
      <c r="AA428" s="293">
        <v>25750</v>
      </c>
      <c r="AB428" s="293">
        <v>309000</v>
      </c>
    </row>
    <row r="429" spans="10:28" ht="15" customHeight="1" x14ac:dyDescent="0.25">
      <c r="J429" s="291" t="str">
        <f xml:space="preserve"> _xll.EPMOlapMemberO("[COSTCENTER].[PARENTH1].[1001]","","1001","","000")</f>
        <v>1001</v>
      </c>
      <c r="K429" s="299" t="str">
        <f xml:space="preserve"> _xll.EPMOlapMemberO("[C_ACCOUNT].[PARENTH1].[A_6020030]","","A_6020030","","000")</f>
        <v>A_6020030</v>
      </c>
      <c r="L429" s="293" t="str">
        <f>_xll.EPMMemberDesc(K429)</f>
        <v>Life Insurance</v>
      </c>
      <c r="M429" s="293">
        <v>0</v>
      </c>
      <c r="N429" s="293">
        <v>0</v>
      </c>
      <c r="O429" s="293">
        <v>0</v>
      </c>
      <c r="P429" s="293">
        <v>45427.806666700002</v>
      </c>
      <c r="Q429" s="293">
        <v>45427.806666700002</v>
      </c>
      <c r="R429" s="293">
        <v>45427.806666700002</v>
      </c>
      <c r="S429" s="293">
        <v>45427.806666700002</v>
      </c>
      <c r="T429" s="293">
        <v>45427.806666700002</v>
      </c>
      <c r="U429" s="293">
        <v>45427.806666700002</v>
      </c>
      <c r="V429" s="293">
        <v>45427.806666700002</v>
      </c>
      <c r="W429" s="293">
        <v>45427.806666700002</v>
      </c>
      <c r="X429" s="293">
        <v>45427.806666700002</v>
      </c>
      <c r="Y429" s="293">
        <v>45427.806666700002</v>
      </c>
      <c r="Z429" s="293">
        <v>45427.806666700002</v>
      </c>
      <c r="AA429" s="293">
        <v>45427.806666700002</v>
      </c>
      <c r="AB429" s="293">
        <v>545133.68000040005</v>
      </c>
    </row>
    <row r="430" spans="10:28" ht="15" customHeight="1" x14ac:dyDescent="0.25">
      <c r="J430" s="291" t="str">
        <f xml:space="preserve"> _xll.EPMOlapMemberO("[COSTCENTER].[PARENTH1].[1001]","","1001","","000")</f>
        <v>1001</v>
      </c>
      <c r="K430" s="299" t="str">
        <f xml:space="preserve"> _xll.EPMOlapMemberO("[C_ACCOUNT].[PARENTH1].[A_6020040]","","A_6020040","","000")</f>
        <v>A_6020040</v>
      </c>
      <c r="L430" s="293" t="str">
        <f>_xll.EPMMemberDesc(K430)</f>
        <v>Long-term Care Insurance</v>
      </c>
      <c r="M430" s="293">
        <v>0</v>
      </c>
      <c r="N430" s="293">
        <v>0</v>
      </c>
      <c r="O430" s="293">
        <v>0</v>
      </c>
      <c r="P430" s="293">
        <v>8149.5316666999997</v>
      </c>
      <c r="Q430" s="293">
        <v>8149.5316666999997</v>
      </c>
      <c r="R430" s="293">
        <v>8149.5316666999997</v>
      </c>
      <c r="S430" s="293">
        <v>8149.5316666999997</v>
      </c>
      <c r="T430" s="293">
        <v>8149.5316666999997</v>
      </c>
      <c r="U430" s="293">
        <v>8149.5316666999997</v>
      </c>
      <c r="V430" s="293">
        <v>8149.5316666999997</v>
      </c>
      <c r="W430" s="293">
        <v>8149.5316666999997</v>
      </c>
      <c r="X430" s="293">
        <v>8149.5316666999997</v>
      </c>
      <c r="Y430" s="293">
        <v>8149.5316666999997</v>
      </c>
      <c r="Z430" s="293">
        <v>8149.5316666999997</v>
      </c>
      <c r="AA430" s="293">
        <v>8149.5316666999997</v>
      </c>
      <c r="AB430" s="293">
        <v>97794.380000399993</v>
      </c>
    </row>
    <row r="431" spans="10:28" ht="15" customHeight="1" x14ac:dyDescent="0.25">
      <c r="J431" s="291" t="str">
        <f xml:space="preserve"> _xll.EPMOlapMemberO("[COSTCENTER].[PARENTH1].[1001]","","1001","","000")</f>
        <v>1001</v>
      </c>
      <c r="K431" s="299" t="str">
        <f xml:space="preserve"> _xll.EPMOlapMemberO("[C_ACCOUNT].[PARENTH1].[A_6020050]","","A_6020050","","000")</f>
        <v>A_6020050</v>
      </c>
      <c r="L431" s="293" t="str">
        <f>_xll.EPMMemberDesc(K431)</f>
        <v>Medical Insurance - Active</v>
      </c>
      <c r="M431" s="293">
        <v>0</v>
      </c>
      <c r="N431" s="293">
        <v>0</v>
      </c>
      <c r="O431" s="293">
        <v>0</v>
      </c>
      <c r="P431" s="293">
        <v>2794948.75</v>
      </c>
      <c r="Q431" s="293">
        <v>2794948.75</v>
      </c>
      <c r="R431" s="293">
        <v>2794948.75</v>
      </c>
      <c r="S431" s="293">
        <v>2794948.75</v>
      </c>
      <c r="T431" s="293">
        <v>2794948.75</v>
      </c>
      <c r="U431" s="293">
        <v>2794948.75</v>
      </c>
      <c r="V431" s="293">
        <v>2794948.75</v>
      </c>
      <c r="W431" s="293">
        <v>2794948.75</v>
      </c>
      <c r="X431" s="293">
        <v>2794948.75</v>
      </c>
      <c r="Y431" s="293">
        <v>2794948.75</v>
      </c>
      <c r="Z431" s="293">
        <v>2794948.75</v>
      </c>
      <c r="AA431" s="293">
        <v>2794948.75</v>
      </c>
      <c r="AB431" s="293">
        <v>33539385</v>
      </c>
    </row>
    <row r="432" spans="10:28" ht="15" customHeight="1" x14ac:dyDescent="0.25">
      <c r="J432" s="291" t="str">
        <f xml:space="preserve"> _xll.EPMOlapMemberO("[COSTCENTER].[PARENTH1].[1001]","","1001","","000")</f>
        <v>1001</v>
      </c>
      <c r="K432" s="299" t="str">
        <f xml:space="preserve"> _xll.EPMOlapMemberO("[C_ACCOUNT].[PARENTH1].[A_6020060]","","A_6020060","","000")</f>
        <v>A_6020060</v>
      </c>
      <c r="L432" s="293" t="str">
        <f>_xll.EPMMemberDesc(K432)</f>
        <v>Pensions</v>
      </c>
      <c r="M432" s="293">
        <v>0</v>
      </c>
      <c r="N432" s="293">
        <v>0</v>
      </c>
      <c r="O432" s="293">
        <v>0</v>
      </c>
      <c r="P432" s="293">
        <v>785199.75</v>
      </c>
      <c r="Q432" s="293">
        <v>785199.75</v>
      </c>
      <c r="R432" s="293">
        <v>785199.75</v>
      </c>
      <c r="S432" s="293">
        <v>785199.75</v>
      </c>
      <c r="T432" s="293">
        <v>785199.75</v>
      </c>
      <c r="U432" s="293">
        <v>785199.75</v>
      </c>
      <c r="V432" s="293">
        <v>785199.75</v>
      </c>
      <c r="W432" s="293">
        <v>785199.75</v>
      </c>
      <c r="X432" s="293">
        <v>785199.75</v>
      </c>
      <c r="Y432" s="293">
        <v>785199.75</v>
      </c>
      <c r="Z432" s="293">
        <v>785199.75</v>
      </c>
      <c r="AA432" s="293">
        <v>785199.75</v>
      </c>
      <c r="AB432" s="293">
        <v>9422397</v>
      </c>
    </row>
    <row r="433" spans="10:28" ht="15" customHeight="1" x14ac:dyDescent="0.25">
      <c r="J433" s="291" t="str">
        <f xml:space="preserve"> _xll.EPMOlapMemberO("[COSTCENTER].[PARENTH1].[1001]","","1001","","000")</f>
        <v>1001</v>
      </c>
      <c r="K433" s="299" t="str">
        <f xml:space="preserve"> _xll.EPMOlapMemberO("[C_ACCOUNT].[PARENTH1].[A_6020080]","","A_6020080","","000")</f>
        <v>A_6020080</v>
      </c>
      <c r="L433" s="293" t="str">
        <f>_xll.EPMMemberDesc(K433)</f>
        <v>Post Retirement Benefits FAS 106 - Active</v>
      </c>
      <c r="M433" s="293">
        <v>0</v>
      </c>
      <c r="N433" s="293">
        <v>0</v>
      </c>
      <c r="O433" s="293">
        <v>0</v>
      </c>
      <c r="P433" s="293">
        <v>399562</v>
      </c>
      <c r="Q433" s="293">
        <v>399562</v>
      </c>
      <c r="R433" s="293">
        <v>399562</v>
      </c>
      <c r="S433" s="293">
        <v>399562</v>
      </c>
      <c r="T433" s="293">
        <v>399562</v>
      </c>
      <c r="U433" s="293">
        <v>399562</v>
      </c>
      <c r="V433" s="293">
        <v>399562</v>
      </c>
      <c r="W433" s="293">
        <v>399562</v>
      </c>
      <c r="X433" s="293">
        <v>399562</v>
      </c>
      <c r="Y433" s="293">
        <v>399562</v>
      </c>
      <c r="Z433" s="293">
        <v>399562</v>
      </c>
      <c r="AA433" s="293">
        <v>399562</v>
      </c>
      <c r="AB433" s="293">
        <v>4794744</v>
      </c>
    </row>
    <row r="434" spans="10:28" ht="15" customHeight="1" x14ac:dyDescent="0.25">
      <c r="J434" s="291" t="str">
        <f xml:space="preserve"> _xll.EPMOlapMemberO("[COSTCENTER].[PARENTH1].[1001]","","1001","","000")</f>
        <v>1001</v>
      </c>
      <c r="K434" s="299" t="str">
        <f xml:space="preserve"> _xll.EPMOlapMemberO("[C_ACCOUNT].[PARENTH1].[A_6020090]","","A_6020090","","000")</f>
        <v>A_6020090</v>
      </c>
      <c r="L434" s="293" t="str">
        <f>_xll.EPMMemberDesc(K434)</f>
        <v>Post Retirememt Benefits FAS 106 - Retiree</v>
      </c>
      <c r="M434" s="293">
        <v>0</v>
      </c>
      <c r="N434" s="293">
        <v>0</v>
      </c>
      <c r="O434" s="293">
        <v>0</v>
      </c>
      <c r="P434" s="293">
        <v>306291.41666669998</v>
      </c>
      <c r="Q434" s="293">
        <v>306291.41666669998</v>
      </c>
      <c r="R434" s="293">
        <v>306291.41666669998</v>
      </c>
      <c r="S434" s="293">
        <v>306291.41666669998</v>
      </c>
      <c r="T434" s="293">
        <v>306291.41666669998</v>
      </c>
      <c r="U434" s="293">
        <v>306291.41666669998</v>
      </c>
      <c r="V434" s="293">
        <v>306291.41666669998</v>
      </c>
      <c r="W434" s="293">
        <v>306291.41666669998</v>
      </c>
      <c r="X434" s="293">
        <v>306291.41666669998</v>
      </c>
      <c r="Y434" s="293">
        <v>306291.41666669998</v>
      </c>
      <c r="Z434" s="293">
        <v>306291.41666669998</v>
      </c>
      <c r="AA434" s="293">
        <v>306291.41666669998</v>
      </c>
      <c r="AB434" s="293">
        <v>3675497.0000004</v>
      </c>
    </row>
    <row r="435" spans="10:28" ht="15" customHeight="1" x14ac:dyDescent="0.25">
      <c r="J435" s="291" t="str">
        <f xml:space="preserve"> _xll.EPMOlapMemberO("[COSTCENTER].[PARENTH1].[1001]","","1001","","000")</f>
        <v>1001</v>
      </c>
      <c r="K435" s="299" t="str">
        <f xml:space="preserve"> _xll.EPMOlapMemberO("[C_ACCOUNT].[PARENTH1].[A_6020100]","","A_6020100","","000")</f>
        <v>A_6020100</v>
      </c>
      <c r="L435" s="293" t="str">
        <f>_xll.EPMMemberDesc(K435)</f>
        <v>Long-term incentive Expense</v>
      </c>
      <c r="M435" s="293">
        <v>0</v>
      </c>
      <c r="N435" s="293">
        <v>0</v>
      </c>
      <c r="O435" s="293">
        <v>0</v>
      </c>
      <c r="P435" s="293">
        <v>0</v>
      </c>
      <c r="Q435" s="293">
        <v>0</v>
      </c>
      <c r="R435" s="293">
        <v>1628259</v>
      </c>
      <c r="S435" s="293">
        <v>0</v>
      </c>
      <c r="T435" s="293">
        <v>0</v>
      </c>
      <c r="U435" s="293">
        <v>1628259</v>
      </c>
      <c r="V435" s="293">
        <v>0</v>
      </c>
      <c r="W435" s="293">
        <v>0</v>
      </c>
      <c r="X435" s="293">
        <v>1628259</v>
      </c>
      <c r="Y435" s="293">
        <v>0</v>
      </c>
      <c r="Z435" s="293">
        <v>0</v>
      </c>
      <c r="AA435" s="293">
        <v>1628259</v>
      </c>
      <c r="AB435" s="293">
        <v>6513036</v>
      </c>
    </row>
    <row r="436" spans="10:28" ht="15" customHeight="1" x14ac:dyDescent="0.25">
      <c r="J436" s="291" t="str">
        <f xml:space="preserve"> _xll.EPMOlapMemberO("[COSTCENTER].[PARENTH1].[1001]","","1001","","000")</f>
        <v>1001</v>
      </c>
      <c r="K436" s="299" t="str">
        <f xml:space="preserve"> _xll.EPMOlapMemberO("[C_ACCOUNT].[PARENTH1].[A_6020101]","","A_6020101","","000")</f>
        <v>A_6020101</v>
      </c>
      <c r="L436" s="293" t="str">
        <f>_xll.EPMMemberDesc(K436)</f>
        <v>Employee Deferred Compensation Expense</v>
      </c>
      <c r="M436" s="293">
        <v>0</v>
      </c>
      <c r="N436" s="293">
        <v>0</v>
      </c>
      <c r="O436" s="293">
        <v>0</v>
      </c>
      <c r="P436" s="293">
        <v>0</v>
      </c>
      <c r="Q436" s="293">
        <v>0</v>
      </c>
      <c r="R436" s="293">
        <v>17899</v>
      </c>
      <c r="S436" s="293">
        <v>0</v>
      </c>
      <c r="T436" s="293">
        <v>0</v>
      </c>
      <c r="U436" s="293">
        <v>17899</v>
      </c>
      <c r="V436" s="293">
        <v>0</v>
      </c>
      <c r="W436" s="293">
        <v>0</v>
      </c>
      <c r="X436" s="293">
        <v>17899</v>
      </c>
      <c r="Y436" s="293">
        <v>0</v>
      </c>
      <c r="Z436" s="293">
        <v>0</v>
      </c>
      <c r="AA436" s="293">
        <v>17899</v>
      </c>
      <c r="AB436" s="293">
        <v>71596</v>
      </c>
    </row>
    <row r="437" spans="10:28" ht="15" customHeight="1" x14ac:dyDescent="0.25">
      <c r="J437" s="291" t="str">
        <f xml:space="preserve"> _xll.EPMOlapMemberO("[COSTCENTER].[PARENTH1].[1001]","","1001","","000")</f>
        <v>1001</v>
      </c>
      <c r="K437" s="299" t="str">
        <f xml:space="preserve"> _xll.EPMOlapMemberO("[C_ACCOUNT].[PARENTH1].[A_6020110]","","A_6020110","","000")</f>
        <v>A_6020110</v>
      </c>
      <c r="L437" s="293" t="str">
        <f>_xll.EPMMemberDesc(K437)</f>
        <v>Employee Wellness</v>
      </c>
      <c r="M437" s="293">
        <v>0</v>
      </c>
      <c r="N437" s="293">
        <v>0</v>
      </c>
      <c r="O437" s="293">
        <v>0</v>
      </c>
      <c r="P437" s="293">
        <v>8154.1666667</v>
      </c>
      <c r="Q437" s="293">
        <v>8154.1666667</v>
      </c>
      <c r="R437" s="293">
        <v>8154.1666667</v>
      </c>
      <c r="S437" s="293">
        <v>8154.1666667</v>
      </c>
      <c r="T437" s="293">
        <v>8154.1666667</v>
      </c>
      <c r="U437" s="293">
        <v>8154.1666667</v>
      </c>
      <c r="V437" s="293">
        <v>8154.1666667</v>
      </c>
      <c r="W437" s="293">
        <v>8154.1666667</v>
      </c>
      <c r="X437" s="293">
        <v>8154.1666667</v>
      </c>
      <c r="Y437" s="293">
        <v>8154.1666667</v>
      </c>
      <c r="Z437" s="293">
        <v>8154.1666667</v>
      </c>
      <c r="AA437" s="293">
        <v>8154.1666667</v>
      </c>
      <c r="AB437" s="293">
        <v>97850.000000400003</v>
      </c>
    </row>
    <row r="438" spans="10:28" ht="15" customHeight="1" x14ac:dyDescent="0.25">
      <c r="J438" s="291" t="str">
        <f xml:space="preserve"> _xll.EPMOlapMemberO("[COSTCENTER].[PARENTH1].[1001]","","1001","","000")</f>
        <v>1001</v>
      </c>
      <c r="K438" s="299" t="str">
        <f xml:space="preserve"> _xll.EPMOlapMemberO("[C_ACCOUNT].[PARENTH1].[A_6020130]","","A_6020130","","000")</f>
        <v>A_6020130</v>
      </c>
      <c r="L438" s="293" t="str">
        <f>_xll.EPMMemberDesc(K438)</f>
        <v>Employer 401K Fixed Match</v>
      </c>
      <c r="M438" s="293">
        <v>0</v>
      </c>
      <c r="N438" s="293">
        <v>0</v>
      </c>
      <c r="O438" s="293">
        <v>0</v>
      </c>
      <c r="P438" s="293">
        <v>1056638.1372417</v>
      </c>
      <c r="Q438" s="293">
        <v>1056638.1372417</v>
      </c>
      <c r="R438" s="293">
        <v>1056638.1372417</v>
      </c>
      <c r="S438" s="293">
        <v>1056638.1372417</v>
      </c>
      <c r="T438" s="293">
        <v>1056638.1372417</v>
      </c>
      <c r="U438" s="293">
        <v>1056638.1372417</v>
      </c>
      <c r="V438" s="293">
        <v>1056638.1372417</v>
      </c>
      <c r="W438" s="293">
        <v>1056638.1372417</v>
      </c>
      <c r="X438" s="293">
        <v>1056638.1372417</v>
      </c>
      <c r="Y438" s="293">
        <v>1056638.1372417</v>
      </c>
      <c r="Z438" s="293">
        <v>1056638.1372417</v>
      </c>
      <c r="AA438" s="293">
        <v>1056638.1372417</v>
      </c>
      <c r="AB438" s="293">
        <v>12679657.646900401</v>
      </c>
    </row>
    <row r="439" spans="10:28" ht="15" customHeight="1" x14ac:dyDescent="0.25">
      <c r="J439" s="291" t="str">
        <f xml:space="preserve"> _xll.EPMOlapMemberO("[COSTCENTER].[PARENTH1].[1001]","","1001","","000")</f>
        <v>1001</v>
      </c>
      <c r="K439" s="299" t="str">
        <f xml:space="preserve"> _xll.EPMOlapMemberO("[C_ACCOUNT].[PARENTH1].[A_6020150]","","A_6020150","","000")</f>
        <v>A_6020150</v>
      </c>
      <c r="L439" s="293" t="str">
        <f>_xll.EPMMemberDesc(K439)</f>
        <v>Supplemental Executive Retirement Plan (SERP)</v>
      </c>
      <c r="M439" s="293">
        <v>0</v>
      </c>
      <c r="N439" s="293">
        <v>0</v>
      </c>
      <c r="O439" s="293">
        <v>0</v>
      </c>
      <c r="P439" s="293">
        <v>9575.5833332999991</v>
      </c>
      <c r="Q439" s="293">
        <v>9575.5833332999991</v>
      </c>
      <c r="R439" s="293">
        <v>9575.5833332999991</v>
      </c>
      <c r="S439" s="293">
        <v>9575.5833332999991</v>
      </c>
      <c r="T439" s="293">
        <v>9575.5833332999991</v>
      </c>
      <c r="U439" s="293">
        <v>9575.5833332999991</v>
      </c>
      <c r="V439" s="293">
        <v>9575.5833332999991</v>
      </c>
      <c r="W439" s="293">
        <v>9575.5833332999991</v>
      </c>
      <c r="X439" s="293">
        <v>9575.5833332999991</v>
      </c>
      <c r="Y439" s="293">
        <v>9575.5833332999991</v>
      </c>
      <c r="Z439" s="293">
        <v>9575.5833332999991</v>
      </c>
      <c r="AA439" s="293">
        <v>9575.5833332999991</v>
      </c>
      <c r="AB439" s="293">
        <v>114906.9999996</v>
      </c>
    </row>
    <row r="440" spans="10:28" ht="15" customHeight="1" x14ac:dyDescent="0.25">
      <c r="J440" s="291" t="str">
        <f xml:space="preserve"> _xll.EPMOlapMemberO("[COSTCENTER].[PARENTH1].[1001]","","1001","","000")</f>
        <v>1001</v>
      </c>
      <c r="K440" s="299" t="str">
        <f xml:space="preserve"> _xll.EPMOlapMemberO("[C_ACCOUNT].[PARENTH1].[A_6020170]","","A_6020170","","000")</f>
        <v>A_6020170</v>
      </c>
      <c r="L440" s="293" t="str">
        <f>_xll.EPMMemberDesc(K440)</f>
        <v>Long-term Disability - FAS 112</v>
      </c>
      <c r="M440" s="293">
        <v>0</v>
      </c>
      <c r="N440" s="293">
        <v>0</v>
      </c>
      <c r="O440" s="293">
        <v>0</v>
      </c>
      <c r="P440" s="293">
        <v>0</v>
      </c>
      <c r="Q440" s="293">
        <v>525000</v>
      </c>
      <c r="R440" s="293">
        <v>0</v>
      </c>
      <c r="S440" s="293">
        <v>0</v>
      </c>
      <c r="T440" s="293">
        <v>525000</v>
      </c>
      <c r="U440" s="293">
        <v>0</v>
      </c>
      <c r="V440" s="293">
        <v>0</v>
      </c>
      <c r="W440" s="293">
        <v>550000</v>
      </c>
      <c r="X440" s="293">
        <v>0</v>
      </c>
      <c r="Y440" s="293">
        <v>0</v>
      </c>
      <c r="Z440" s="293">
        <v>0</v>
      </c>
      <c r="AA440" s="293">
        <v>550000</v>
      </c>
      <c r="AB440" s="293">
        <v>2150000</v>
      </c>
    </row>
    <row r="441" spans="10:28" ht="15" customHeight="1" x14ac:dyDescent="0.25">
      <c r="J441" s="291" t="str">
        <f xml:space="preserve"> _xll.EPMOlapMemberO("[COSTCENTER].[PARENTH1].[1001]","","1001","","000")</f>
        <v>1001</v>
      </c>
      <c r="K441" s="299" t="str">
        <f xml:space="preserve"> _xll.EPMOlapMemberO("[C_ACCOUNT].[PARENTH1].[A_6020180]","","A_6020180","","000")</f>
        <v>A_6020180</v>
      </c>
      <c r="L441" s="293" t="str">
        <f>_xll.EPMMemberDesc(K441)</f>
        <v>Long-term Disability Premiums</v>
      </c>
      <c r="M441" s="293">
        <v>0</v>
      </c>
      <c r="N441" s="293">
        <v>0</v>
      </c>
      <c r="O441" s="293">
        <v>0</v>
      </c>
      <c r="P441" s="293">
        <v>120403.6525</v>
      </c>
      <c r="Q441" s="293">
        <v>120403.6525</v>
      </c>
      <c r="R441" s="293">
        <v>120403.6525</v>
      </c>
      <c r="S441" s="293">
        <v>120403.6525</v>
      </c>
      <c r="T441" s="293">
        <v>120403.6525</v>
      </c>
      <c r="U441" s="293">
        <v>120403.6525</v>
      </c>
      <c r="V441" s="293">
        <v>120403.6525</v>
      </c>
      <c r="W441" s="293">
        <v>120403.6525</v>
      </c>
      <c r="X441" s="293">
        <v>120403.6525</v>
      </c>
      <c r="Y441" s="293">
        <v>120403.6525</v>
      </c>
      <c r="Z441" s="293">
        <v>120403.6525</v>
      </c>
      <c r="AA441" s="293">
        <v>120403.6525</v>
      </c>
      <c r="AB441" s="293">
        <v>1444843.83</v>
      </c>
    </row>
    <row r="442" spans="10:28" ht="15" customHeight="1" x14ac:dyDescent="0.25">
      <c r="J442" s="291" t="str">
        <f xml:space="preserve"> _xll.EPMOlapMemberO("[COSTCENTER].[PARENTH1].[1001]","","1001","","000")</f>
        <v>1001</v>
      </c>
      <c r="K442" s="299" t="str">
        <f xml:space="preserve"> _xll.EPMOlapMemberO("[C_ACCOUNT].[PARENTH1].[A_6020220]","","A_6020220","","000")</f>
        <v>A_6020220</v>
      </c>
      <c r="L442" s="293" t="str">
        <f>_xll.EPMMemberDesc(K442)</f>
        <v>Vacations (accrual)</v>
      </c>
      <c r="M442" s="293">
        <v>0</v>
      </c>
      <c r="N442" s="293">
        <v>0</v>
      </c>
      <c r="O442" s="293">
        <v>0</v>
      </c>
      <c r="P442" s="293">
        <v>96133.333333300005</v>
      </c>
      <c r="Q442" s="293">
        <v>96133.333333300005</v>
      </c>
      <c r="R442" s="293">
        <v>96133.333333300005</v>
      </c>
      <c r="S442" s="293">
        <v>96133.333333300005</v>
      </c>
      <c r="T442" s="293">
        <v>96133.333333300005</v>
      </c>
      <c r="U442" s="293">
        <v>96133.333333300005</v>
      </c>
      <c r="V442" s="293">
        <v>96133.333333300005</v>
      </c>
      <c r="W442" s="293">
        <v>96133.333333300005</v>
      </c>
      <c r="X442" s="293">
        <v>96133.333333300005</v>
      </c>
      <c r="Y442" s="293">
        <v>96133.333333300005</v>
      </c>
      <c r="Z442" s="293">
        <v>96133.333333300005</v>
      </c>
      <c r="AA442" s="293">
        <v>96133.333333300005</v>
      </c>
      <c r="AB442" s="293">
        <v>1153599.9999996</v>
      </c>
    </row>
    <row r="443" spans="10:28" ht="15" customHeight="1" x14ac:dyDescent="0.25">
      <c r="J443" s="291" t="str">
        <f xml:space="preserve"> _xll.EPMOlapMemberO("[COSTCENTER].[PARENTH1].[1001]","","1001","","000")</f>
        <v>1001</v>
      </c>
      <c r="K443" s="299" t="str">
        <f xml:space="preserve"> _xll.EPMOlapMemberO("[C_ACCOUNT].[PARENTH1].[A_6020230]","","A_6020230","","000")</f>
        <v>A_6020230</v>
      </c>
      <c r="L443" s="293" t="str">
        <f>_xll.EPMMemberDesc(K443)</f>
        <v>Restoriation Benefit Plan Expense</v>
      </c>
      <c r="M443" s="293">
        <v>0</v>
      </c>
      <c r="N443" s="293">
        <v>0</v>
      </c>
      <c r="O443" s="293">
        <v>0</v>
      </c>
      <c r="P443" s="293">
        <v>29052.25</v>
      </c>
      <c r="Q443" s="293">
        <v>29052.25</v>
      </c>
      <c r="R443" s="293">
        <v>29052.25</v>
      </c>
      <c r="S443" s="293">
        <v>29052.25</v>
      </c>
      <c r="T443" s="293">
        <v>29052.25</v>
      </c>
      <c r="U443" s="293">
        <v>29052.25</v>
      </c>
      <c r="V443" s="293">
        <v>29052.25</v>
      </c>
      <c r="W443" s="293">
        <v>29052.25</v>
      </c>
      <c r="X443" s="293">
        <v>29052.25</v>
      </c>
      <c r="Y443" s="293">
        <v>29052.25</v>
      </c>
      <c r="Z443" s="293">
        <v>29052.25</v>
      </c>
      <c r="AA443" s="293">
        <v>29052.25</v>
      </c>
      <c r="AB443" s="293">
        <v>348627</v>
      </c>
    </row>
    <row r="444" spans="10:28" ht="15" customHeight="1" x14ac:dyDescent="0.25">
      <c r="J444" s="291" t="str">
        <f xml:space="preserve"> _xll.EPMOlapMemberO("[COSTCENTER].[PARENTH1].[1001]","","1001","","000")</f>
        <v>1001</v>
      </c>
      <c r="K444" s="299" t="str">
        <f xml:space="preserve"> _xll.EPMOlapMemberO("[C_ACCOUNT].[PARENTH1].[A_6020900]","","A_6020900","","000")</f>
        <v>A_6020900</v>
      </c>
      <c r="L444" s="293" t="str">
        <f>_xll.EPMMemberDesc(K444)</f>
        <v>Employee Incentive Expense</v>
      </c>
      <c r="M444" s="293">
        <v>0</v>
      </c>
      <c r="N444" s="293">
        <v>0</v>
      </c>
      <c r="O444" s="293">
        <v>0</v>
      </c>
      <c r="P444" s="293">
        <v>1768447.9138380999</v>
      </c>
      <c r="Q444" s="293">
        <v>1768447.9138380999</v>
      </c>
      <c r="R444" s="293">
        <v>1768447.9138380999</v>
      </c>
      <c r="S444" s="293">
        <v>1768447.9138380999</v>
      </c>
      <c r="T444" s="293">
        <v>1768447.9138380999</v>
      </c>
      <c r="U444" s="293">
        <v>1768447.9138380999</v>
      </c>
      <c r="V444" s="293">
        <v>1768447.9138380999</v>
      </c>
      <c r="W444" s="293">
        <v>1768447.9138380999</v>
      </c>
      <c r="X444" s="293">
        <v>1768447.9138380999</v>
      </c>
      <c r="Y444" s="293">
        <v>1768447.9138380999</v>
      </c>
      <c r="Z444" s="293">
        <v>1768447.9138380999</v>
      </c>
      <c r="AA444" s="293">
        <v>1768447.9138380999</v>
      </c>
      <c r="AB444" s="293">
        <v>21221374.9660572</v>
      </c>
    </row>
    <row r="445" spans="10:28" ht="15" customHeight="1" x14ac:dyDescent="0.25">
      <c r="J445" s="291" t="str">
        <f xml:space="preserve"> _xll.EPMOlapMemberO("[COSTCENTER].[PARENTH1].[1001]","","1001","","000")</f>
        <v>1001</v>
      </c>
      <c r="K445" s="299" t="str">
        <f xml:space="preserve"> _xll.EPMOlapMemberO("[C_ACCOUNT].[PARENTH1].[A_6020920]","","A_6020920","","000")</f>
        <v>A_6020920</v>
      </c>
      <c r="L445" s="293" t="str">
        <f>_xll.EPMMemberDesc(K445)</f>
        <v>Employee Service Awards</v>
      </c>
      <c r="M445" s="293">
        <v>0</v>
      </c>
      <c r="N445" s="293">
        <v>0</v>
      </c>
      <c r="O445" s="293">
        <v>0</v>
      </c>
      <c r="P445" s="293">
        <v>12445.833333299999</v>
      </c>
      <c r="Q445" s="293">
        <v>12445.833333299999</v>
      </c>
      <c r="R445" s="293">
        <v>12445.833333299999</v>
      </c>
      <c r="S445" s="293">
        <v>12445.833333299999</v>
      </c>
      <c r="T445" s="293">
        <v>12445.833333299999</v>
      </c>
      <c r="U445" s="293">
        <v>12445.833333299999</v>
      </c>
      <c r="V445" s="293">
        <v>12445.833333299999</v>
      </c>
      <c r="W445" s="293">
        <v>12445.833333299999</v>
      </c>
      <c r="X445" s="293">
        <v>12445.833333299999</v>
      </c>
      <c r="Y445" s="293">
        <v>12445.833333299999</v>
      </c>
      <c r="Z445" s="293">
        <v>12445.833333299999</v>
      </c>
      <c r="AA445" s="293">
        <v>12445.833333299999</v>
      </c>
      <c r="AB445" s="293">
        <v>149349.9999996</v>
      </c>
    </row>
    <row r="446" spans="10:28" ht="15" customHeight="1" x14ac:dyDescent="0.25">
      <c r="J446" s="291" t="str">
        <f xml:space="preserve"> _xll.EPMOlapMemberO("[COSTCENTER].[PARENTH1].[1001]","","1001","","000")</f>
        <v>1001</v>
      </c>
      <c r="K446" s="299" t="str">
        <f xml:space="preserve"> _xll.EPMOlapMemberO("[C_ACCOUNT].[PARENTH1].[A_P6020000]","","A_P6020000","","000")</f>
        <v>A_P6020000</v>
      </c>
      <c r="L446" s="293" t="str">
        <f>_xll.EPMMemberDesc(K446)</f>
        <v>Planned Benefits Expense</v>
      </c>
      <c r="M446" s="293">
        <v>0</v>
      </c>
      <c r="N446" s="293">
        <v>0</v>
      </c>
      <c r="O446" s="293">
        <v>0</v>
      </c>
      <c r="P446" s="293">
        <v>3596940.1096496</v>
      </c>
      <c r="Q446" s="293">
        <v>3273131.7557449001</v>
      </c>
      <c r="R446" s="293">
        <v>3711631.1084171999</v>
      </c>
      <c r="S446" s="293">
        <v>3685146.1515508001</v>
      </c>
      <c r="T446" s="293">
        <v>3505677.1560316002</v>
      </c>
      <c r="U446" s="293">
        <v>3704485.3442123998</v>
      </c>
      <c r="V446" s="293">
        <v>3793727.7280327999</v>
      </c>
      <c r="W446" s="293">
        <v>3675187.0715243998</v>
      </c>
      <c r="X446" s="293">
        <v>3736500.1786473999</v>
      </c>
      <c r="Y446" s="293">
        <v>3594667.5234743999</v>
      </c>
      <c r="Z446" s="293">
        <v>3624844.6355679999</v>
      </c>
      <c r="AA446" s="293">
        <v>3883313.6357046999</v>
      </c>
      <c r="AB446" s="293">
        <v>43785252.398558199</v>
      </c>
    </row>
    <row r="447" spans="10:28" ht="15" customHeight="1" x14ac:dyDescent="0.25">
      <c r="J447" s="291" t="str">
        <f xml:space="preserve"> _xll.EPMOlapMemberO("[COSTCENTER].[PARENTH1].[1001]","","1001","","000")</f>
        <v>1001</v>
      </c>
      <c r="K447" s="299" t="str">
        <f xml:space="preserve"> _xll.EPMOlapMemberO("[C_ACCOUNT].[PARENTH1].[A_C6020000]","","A_C6020000","","000")</f>
        <v>A_C6020000</v>
      </c>
      <c r="L447" s="293" t="str">
        <f>_xll.EPMMemberDesc(K447)</f>
        <v>Fringe Adder</v>
      </c>
      <c r="M447" s="293">
        <v>0</v>
      </c>
      <c r="N447" s="293">
        <v>0</v>
      </c>
      <c r="O447" s="293">
        <v>0</v>
      </c>
      <c r="P447" s="293">
        <v>-5926099.0264836997</v>
      </c>
      <c r="Q447" s="293">
        <v>-5444438.6519171996</v>
      </c>
      <c r="R447" s="293">
        <v>-6194353.2628114</v>
      </c>
      <c r="S447" s="293">
        <v>-6139216.6700689001</v>
      </c>
      <c r="T447" s="293">
        <v>-5875960.5492291003</v>
      </c>
      <c r="U447" s="293">
        <v>-6196824.8196194004</v>
      </c>
      <c r="V447" s="293">
        <v>-6354260.8879735004</v>
      </c>
      <c r="W447" s="293">
        <v>-6153189.6288173003</v>
      </c>
      <c r="X447" s="293">
        <v>-6284681.9010819998</v>
      </c>
      <c r="Y447" s="293">
        <v>-6075660.1452473002</v>
      </c>
      <c r="Z447" s="293">
        <v>-6099347.7100157999</v>
      </c>
      <c r="AA447" s="293">
        <v>-6501479.8189267004</v>
      </c>
      <c r="AB447" s="293">
        <v>-73245513.072192296</v>
      </c>
    </row>
    <row r="448" spans="10:28" ht="15" customHeight="1" x14ac:dyDescent="0.25">
      <c r="J448" s="291" t="str">
        <f xml:space="preserve"> _xll.EPMOlapMemberO("[COSTCENTER].[PARENTH1].[1001]","","1001","","000")</f>
        <v>1001</v>
      </c>
      <c r="K448" s="299" t="str">
        <f xml:space="preserve"> _xll.EPMOlapMemberO("[C_ACCOUNT].[PARENTH1].[A_6020131]","","A_6020131","","000")</f>
        <v>A_6020131</v>
      </c>
      <c r="L448" s="293" t="str">
        <f>_xll.EPMMemberDesc(K448)</f>
        <v>Employer 401K – IBEW Plan Match</v>
      </c>
      <c r="M448" s="293">
        <v>0</v>
      </c>
      <c r="N448" s="293">
        <v>0</v>
      </c>
      <c r="O448" s="293">
        <v>0</v>
      </c>
      <c r="P448" s="293">
        <v>338351.35208330001</v>
      </c>
      <c r="Q448" s="293">
        <v>338351.35208330001</v>
      </c>
      <c r="R448" s="293">
        <v>338351.35208330001</v>
      </c>
      <c r="S448" s="293">
        <v>338351.35208330001</v>
      </c>
      <c r="T448" s="293">
        <v>338351.35208330001</v>
      </c>
      <c r="U448" s="293">
        <v>338351.35208330001</v>
      </c>
      <c r="V448" s="293">
        <v>338351.35208330001</v>
      </c>
      <c r="W448" s="293">
        <v>338351.35208330001</v>
      </c>
      <c r="X448" s="293">
        <v>338351.35208330001</v>
      </c>
      <c r="Y448" s="293">
        <v>338351.35208330001</v>
      </c>
      <c r="Z448" s="293">
        <v>338351.35208330001</v>
      </c>
      <c r="AA448" s="293">
        <v>338351.35208330001</v>
      </c>
      <c r="AB448" s="293">
        <v>4060216.2249996001</v>
      </c>
    </row>
    <row r="449" spans="10:28" ht="15" customHeight="1" x14ac:dyDescent="0.2">
      <c r="J449" s="286" t="str">
        <f xml:space="preserve"> _xll.EPMOlapMemberO("[COSTCENTER].[PARENTH1].[1001]","","1001","","000")</f>
        <v>1001</v>
      </c>
      <c r="K449" s="298" t="str">
        <f xml:space="preserve"> _xll.EPMOlapMemberO("[C_ACCOUNT].[PARENTH1].[EMPLOYEE_EXPENSES]","","EMPLOYEE_EXPENSES","","000")</f>
        <v>EMPLOYEE_EXPENSES</v>
      </c>
      <c r="L449" s="286" t="str">
        <f>_xll.EPMMemberDesc(K449)</f>
        <v>Employee Expenses</v>
      </c>
      <c r="M449" s="287">
        <v>0</v>
      </c>
      <c r="N449" s="287">
        <v>0</v>
      </c>
      <c r="O449" s="287">
        <v>0</v>
      </c>
      <c r="P449" s="287">
        <v>322714.75730260002</v>
      </c>
      <c r="Q449" s="287">
        <v>308367.06008259999</v>
      </c>
      <c r="R449" s="287">
        <v>403742.22100110003</v>
      </c>
      <c r="S449" s="287">
        <v>318727.38308260002</v>
      </c>
      <c r="T449" s="287">
        <v>319023.36708260002</v>
      </c>
      <c r="U449" s="287">
        <v>456670.57300109998</v>
      </c>
      <c r="V449" s="287">
        <v>352393.57708259998</v>
      </c>
      <c r="W449" s="287">
        <v>310777.70908260002</v>
      </c>
      <c r="X449" s="287">
        <v>420353.90900109999</v>
      </c>
      <c r="Y449" s="287">
        <v>316151.17108260002</v>
      </c>
      <c r="Z449" s="287">
        <v>324922.4070826</v>
      </c>
      <c r="AA449" s="287">
        <v>405461.36222110002</v>
      </c>
      <c r="AB449" s="287">
        <v>4259305.4971051998</v>
      </c>
    </row>
    <row r="450" spans="10:28" ht="15" customHeight="1" x14ac:dyDescent="0.25">
      <c r="J450" s="291" t="str">
        <f xml:space="preserve"> _xll.EPMOlapMemberO("[COSTCENTER].[PARENTH1].[1001]","","1001","","000")</f>
        <v>1001</v>
      </c>
      <c r="K450" s="299" t="str">
        <f xml:space="preserve"> _xll.EPMOlapMemberO("[C_ACCOUNT].[PARENTH1].[A_6030010]","","A_6030010","","000")</f>
        <v>A_6030010</v>
      </c>
      <c r="L450" s="293" t="str">
        <f>_xll.EPMMemberDesc(K450)</f>
        <v>Empl Exp - Professional Dues. Subscriptions. Fees</v>
      </c>
      <c r="M450" s="293">
        <v>0</v>
      </c>
      <c r="N450" s="293">
        <v>0</v>
      </c>
      <c r="O450" s="293">
        <v>0</v>
      </c>
      <c r="P450" s="293">
        <v>98697.297630999994</v>
      </c>
      <c r="Q450" s="293">
        <v>36940.337631000002</v>
      </c>
      <c r="R450" s="293">
        <v>38310.6113281</v>
      </c>
      <c r="S450" s="293">
        <v>19707.787630999999</v>
      </c>
      <c r="T450" s="293">
        <v>15329.737631</v>
      </c>
      <c r="U450" s="293">
        <v>22270.4313281</v>
      </c>
      <c r="V450" s="293">
        <v>21377.693630999998</v>
      </c>
      <c r="W450" s="293">
        <v>10275.195631000001</v>
      </c>
      <c r="X450" s="293">
        <v>16157.1213281</v>
      </c>
      <c r="Y450" s="293">
        <v>15875.827631</v>
      </c>
      <c r="Z450" s="293">
        <v>11914.983630999999</v>
      </c>
      <c r="AA450" s="293">
        <v>27958.678788099998</v>
      </c>
      <c r="AB450" s="293">
        <v>334815.7038204</v>
      </c>
    </row>
    <row r="451" spans="10:28" ht="15" customHeight="1" x14ac:dyDescent="0.25">
      <c r="J451" s="291" t="str">
        <f xml:space="preserve"> _xll.EPMOlapMemberO("[COSTCENTER].[PARENTH1].[1001]","","1001","","000")</f>
        <v>1001</v>
      </c>
      <c r="K451" s="299" t="str">
        <f xml:space="preserve"> _xll.EPMOlapMemberO("[C_ACCOUNT].[PARENTH1].[A_6030020]","","A_6030020","","000")</f>
        <v>A_6030020</v>
      </c>
      <c r="L451" s="293" t="str">
        <f>_xll.EPMMemberDesc(K451)</f>
        <v>Empl Exp - Social/Civic Dues</v>
      </c>
      <c r="M451" s="293">
        <v>0</v>
      </c>
      <c r="N451" s="293">
        <v>0</v>
      </c>
      <c r="O451" s="293">
        <v>0</v>
      </c>
      <c r="P451" s="293">
        <v>2945.17</v>
      </c>
      <c r="Q451" s="293">
        <v>722.32</v>
      </c>
      <c r="R451" s="293">
        <v>1064.69</v>
      </c>
      <c r="S451" s="293">
        <v>287.97000000000003</v>
      </c>
      <c r="T451" s="293">
        <v>645.66999999999996</v>
      </c>
      <c r="U451" s="293">
        <v>6419.97</v>
      </c>
      <c r="V451" s="293">
        <v>5397.97</v>
      </c>
      <c r="W451" s="293">
        <v>7037.97</v>
      </c>
      <c r="X451" s="293">
        <v>287.97000000000003</v>
      </c>
      <c r="Y451" s="293">
        <v>1718.77</v>
      </c>
      <c r="Z451" s="293">
        <v>2321.75</v>
      </c>
      <c r="AA451" s="293">
        <v>492.37</v>
      </c>
      <c r="AB451" s="293">
        <v>29342.59</v>
      </c>
    </row>
    <row r="452" spans="10:28" ht="15" customHeight="1" x14ac:dyDescent="0.25">
      <c r="J452" s="291" t="str">
        <f xml:space="preserve"> _xll.EPMOlapMemberO("[COSTCENTER].[PARENTH1].[1001]","","1001","","000")</f>
        <v>1001</v>
      </c>
      <c r="K452" s="299" t="str">
        <f xml:space="preserve"> _xll.EPMOlapMemberO("[C_ACCOUNT].[PARENTH1].[A_6030030]","","A_6030030","","000")</f>
        <v>A_6030030</v>
      </c>
      <c r="L452" s="293" t="str">
        <f>_xll.EPMMemberDesc(K452)</f>
        <v>Inactive Acc - Do Not Use - Empl Exp - Meals &amp; Ent 100% Ded</v>
      </c>
      <c r="M452" s="293">
        <v>0</v>
      </c>
      <c r="N452" s="293">
        <v>0</v>
      </c>
      <c r="O452" s="293">
        <v>0</v>
      </c>
      <c r="P452" s="293">
        <v>7739.9226666000004</v>
      </c>
      <c r="Q452" s="293">
        <v>7101.0226665999999</v>
      </c>
      <c r="R452" s="293">
        <v>8458.2466666</v>
      </c>
      <c r="S452" s="293">
        <v>7301.0226665999999</v>
      </c>
      <c r="T452" s="293">
        <v>10008.722666600001</v>
      </c>
      <c r="U452" s="293">
        <v>8998.1826665999997</v>
      </c>
      <c r="V452" s="293">
        <v>7505.4226666000004</v>
      </c>
      <c r="W452" s="293">
        <v>6999.9226666000004</v>
      </c>
      <c r="X452" s="293">
        <v>7663.1226666000002</v>
      </c>
      <c r="Y452" s="293">
        <v>8043.9466665999998</v>
      </c>
      <c r="Z452" s="293">
        <v>22984.322666600001</v>
      </c>
      <c r="AA452" s="293">
        <v>12097.3826666</v>
      </c>
      <c r="AB452" s="293">
        <v>114901.2399992</v>
      </c>
    </row>
    <row r="453" spans="10:28" ht="15" customHeight="1" x14ac:dyDescent="0.25">
      <c r="J453" s="291" t="str">
        <f xml:space="preserve"> _xll.EPMOlapMemberO("[COSTCENTER].[PARENTH1].[1001]","","1001","","000")</f>
        <v>1001</v>
      </c>
      <c r="K453" s="299" t="str">
        <f xml:space="preserve"> _xll.EPMOlapMemberO("[C_ACCOUNT].[PARENTH1].[A_6030040]","","A_6030040","","000")</f>
        <v>A_6030040</v>
      </c>
      <c r="L453" s="293" t="str">
        <f>_xll.EPMMemberDesc(K453)</f>
        <v>Empl Exp - Meals &amp; Entertainment 50% Deductible</v>
      </c>
      <c r="M453" s="293">
        <v>0</v>
      </c>
      <c r="N453" s="293">
        <v>0</v>
      </c>
      <c r="O453" s="293">
        <v>0</v>
      </c>
      <c r="P453" s="293">
        <v>26994.2113537</v>
      </c>
      <c r="Q453" s="293">
        <v>31511.575353699998</v>
      </c>
      <c r="R453" s="293">
        <v>68499.390676499999</v>
      </c>
      <c r="S453" s="293">
        <v>34031.087353700001</v>
      </c>
      <c r="T453" s="293">
        <v>35734.015353700001</v>
      </c>
      <c r="U453" s="293">
        <v>71608.766676500003</v>
      </c>
      <c r="V453" s="293">
        <v>46367.651353699999</v>
      </c>
      <c r="W453" s="293">
        <v>53176.0853537</v>
      </c>
      <c r="X453" s="293">
        <v>64407.0026765</v>
      </c>
      <c r="Y453" s="293">
        <v>30727.551353700001</v>
      </c>
      <c r="Z453" s="293">
        <v>42915.6893537</v>
      </c>
      <c r="AA453" s="293">
        <v>68605.898676500001</v>
      </c>
      <c r="AB453" s="293">
        <v>574578.92553560005</v>
      </c>
    </row>
    <row r="454" spans="10:28" ht="15" customHeight="1" x14ac:dyDescent="0.25">
      <c r="J454" s="291" t="str">
        <f xml:space="preserve"> _xll.EPMOlapMemberO("[COSTCENTER].[PARENTH1].[1001]","","1001","","000")</f>
        <v>1001</v>
      </c>
      <c r="K454" s="299" t="str">
        <f xml:space="preserve"> _xll.EPMOlapMemberO("[C_ACCOUNT].[PARENTH1].[A_6030050]","","A_6030050","","000")</f>
        <v>A_6030050</v>
      </c>
      <c r="L454" s="293" t="str">
        <f>_xll.EPMMemberDesc(K454)</f>
        <v>Empl Exp - Mileage</v>
      </c>
      <c r="M454" s="293">
        <v>0</v>
      </c>
      <c r="N454" s="293">
        <v>0</v>
      </c>
      <c r="O454" s="293">
        <v>0</v>
      </c>
      <c r="P454" s="293">
        <v>12923.1138335</v>
      </c>
      <c r="Q454" s="293">
        <v>12107.7138335</v>
      </c>
      <c r="R454" s="293">
        <v>16594.5638335</v>
      </c>
      <c r="S454" s="293">
        <v>12933.593833499999</v>
      </c>
      <c r="T454" s="293">
        <v>13389.7698335</v>
      </c>
      <c r="U454" s="293">
        <v>18572.3638335</v>
      </c>
      <c r="V454" s="293">
        <v>12358.8138335</v>
      </c>
      <c r="W454" s="293">
        <v>11682.7138335</v>
      </c>
      <c r="X454" s="293">
        <v>16904.463833500002</v>
      </c>
      <c r="Y454" s="293">
        <v>13266.8138335</v>
      </c>
      <c r="Z454" s="293">
        <v>12028.3138335</v>
      </c>
      <c r="AA454" s="293">
        <v>20807.1698335</v>
      </c>
      <c r="AB454" s="293">
        <v>173569.40800200001</v>
      </c>
    </row>
    <row r="455" spans="10:28" ht="15" customHeight="1" x14ac:dyDescent="0.25">
      <c r="J455" s="291" t="str">
        <f xml:space="preserve"> _xll.EPMOlapMemberO("[COSTCENTER].[PARENTH1].[1001]","","1001","","000")</f>
        <v>1001</v>
      </c>
      <c r="K455" s="299" t="str">
        <f xml:space="preserve"> _xll.EPMOlapMemberO("[C_ACCOUNT].[PARENTH1].[A_6030060]","","A_6030060","","000")</f>
        <v>A_6030060</v>
      </c>
      <c r="L455" s="293" t="str">
        <f>_xll.EPMMemberDesc(K455)</f>
        <v>Empl Exp - Shoes and uniforms</v>
      </c>
      <c r="M455" s="293">
        <v>0</v>
      </c>
      <c r="N455" s="293">
        <v>0</v>
      </c>
      <c r="O455" s="293">
        <v>0</v>
      </c>
      <c r="P455" s="293">
        <v>1839.2202049</v>
      </c>
      <c r="Q455" s="293">
        <v>1839.2202049</v>
      </c>
      <c r="R455" s="293">
        <v>1839.2202049</v>
      </c>
      <c r="S455" s="293">
        <v>1839.2202049</v>
      </c>
      <c r="T455" s="293">
        <v>1839.2202049</v>
      </c>
      <c r="U455" s="293">
        <v>1839.2202049</v>
      </c>
      <c r="V455" s="293">
        <v>1839.2202049</v>
      </c>
      <c r="W455" s="293">
        <v>1839.2202049</v>
      </c>
      <c r="X455" s="293">
        <v>1839.2202049</v>
      </c>
      <c r="Y455" s="293">
        <v>1839.2202049</v>
      </c>
      <c r="Z455" s="293">
        <v>1839.2202049</v>
      </c>
      <c r="AA455" s="293">
        <v>1859.6602049000001</v>
      </c>
      <c r="AB455" s="293">
        <v>22091.0824588</v>
      </c>
    </row>
    <row r="456" spans="10:28" ht="15" customHeight="1" x14ac:dyDescent="0.25">
      <c r="J456" s="291" t="str">
        <f xml:space="preserve"> _xll.EPMOlapMemberO("[COSTCENTER].[PARENTH1].[1001]","","1001","","000")</f>
        <v>1001</v>
      </c>
      <c r="K456" s="299" t="str">
        <f xml:space="preserve"> _xll.EPMOlapMemberO("[C_ACCOUNT].[PARENTH1].[A_6030070]","","A_6030070","","000")</f>
        <v>A_6030070</v>
      </c>
      <c r="L456" s="293" t="str">
        <f>_xll.EPMMemberDesc(K456)</f>
        <v>Empl Exp - Training</v>
      </c>
      <c r="M456" s="293">
        <v>0</v>
      </c>
      <c r="N456" s="293">
        <v>0</v>
      </c>
      <c r="O456" s="293">
        <v>0</v>
      </c>
      <c r="P456" s="293">
        <v>35225.210656700001</v>
      </c>
      <c r="Q456" s="293">
        <v>43437.3106567</v>
      </c>
      <c r="R456" s="293">
        <v>74756.402534099994</v>
      </c>
      <c r="S456" s="293">
        <v>40711.750656700002</v>
      </c>
      <c r="T456" s="293">
        <v>64442.1706567</v>
      </c>
      <c r="U456" s="293">
        <v>70221.522534100004</v>
      </c>
      <c r="V456" s="293">
        <v>34826.510656699997</v>
      </c>
      <c r="W456" s="293">
        <v>50099.640656700001</v>
      </c>
      <c r="X456" s="293">
        <v>63280.122534100003</v>
      </c>
      <c r="Y456" s="293">
        <v>48665.410656699998</v>
      </c>
      <c r="Z456" s="293">
        <v>48440.710656700001</v>
      </c>
      <c r="AA456" s="293">
        <v>56621.562534099998</v>
      </c>
      <c r="AB456" s="293">
        <v>630728.32539000001</v>
      </c>
    </row>
    <row r="457" spans="10:28" ht="15" customHeight="1" x14ac:dyDescent="0.25">
      <c r="J457" s="291" t="str">
        <f xml:space="preserve"> _xll.EPMOlapMemberO("[COSTCENTER].[PARENTH1].[1001]","","1001","","000")</f>
        <v>1001</v>
      </c>
      <c r="K457" s="299" t="str">
        <f xml:space="preserve"> _xll.EPMOlapMemberO("[C_ACCOUNT].[PARENTH1].[A_6030080]","","A_6030080","","000")</f>
        <v>A_6030080</v>
      </c>
      <c r="L457" s="293" t="str">
        <f>_xll.EPMMemberDesc(K457)</f>
        <v>Empl Exp - Travel and Lodging</v>
      </c>
      <c r="M457" s="293">
        <v>0</v>
      </c>
      <c r="N457" s="293">
        <v>0</v>
      </c>
      <c r="O457" s="293">
        <v>0</v>
      </c>
      <c r="P457" s="293">
        <v>31934.420255699999</v>
      </c>
      <c r="Q457" s="293">
        <v>44099.020255700001</v>
      </c>
      <c r="R457" s="293">
        <v>79711.018610200001</v>
      </c>
      <c r="S457" s="293">
        <v>60271.920255700003</v>
      </c>
      <c r="T457" s="293">
        <v>61262.830255699999</v>
      </c>
      <c r="U457" s="293">
        <v>101140.66861019999</v>
      </c>
      <c r="V457" s="293">
        <v>45319.5842557</v>
      </c>
      <c r="W457" s="293">
        <v>45519.130255700002</v>
      </c>
      <c r="X457" s="293">
        <v>81126.528610199995</v>
      </c>
      <c r="Y457" s="293">
        <v>68257.890255699996</v>
      </c>
      <c r="Z457" s="293">
        <v>59166.970255699998</v>
      </c>
      <c r="AA457" s="293">
        <v>60563.572610199997</v>
      </c>
      <c r="AB457" s="293">
        <v>738373.55448639998</v>
      </c>
    </row>
    <row r="458" spans="10:28" ht="15" customHeight="1" x14ac:dyDescent="0.25">
      <c r="J458" s="291" t="str">
        <f xml:space="preserve"> _xll.EPMOlapMemberO("[COSTCENTER].[PARENTH1].[1001]","","1001","","000")</f>
        <v>1001</v>
      </c>
      <c r="K458" s="299" t="str">
        <f xml:space="preserve"> _xll.EPMOlapMemberO("[C_ACCOUNT].[PARENTH1].[A_6030800]","","A_6030800","","000")</f>
        <v>A_6030800</v>
      </c>
      <c r="L458" s="293" t="str">
        <f>_xll.EPMMemberDesc(K458)</f>
        <v>Empl Exp - Miscellaneous Expense</v>
      </c>
      <c r="M458" s="293">
        <v>0</v>
      </c>
      <c r="N458" s="293">
        <v>0</v>
      </c>
      <c r="O458" s="293">
        <v>0</v>
      </c>
      <c r="P458" s="293">
        <v>72765.468387200002</v>
      </c>
      <c r="Q458" s="293">
        <v>98325.338387199998</v>
      </c>
      <c r="R458" s="293">
        <v>81568.365053899994</v>
      </c>
      <c r="S458" s="293">
        <v>98155.318387199994</v>
      </c>
      <c r="T458" s="293">
        <v>69590.118387199997</v>
      </c>
      <c r="U458" s="293">
        <v>86708.235053900004</v>
      </c>
      <c r="V458" s="293">
        <v>141065.4983872</v>
      </c>
      <c r="W458" s="293">
        <v>74801.118387199997</v>
      </c>
      <c r="X458" s="293">
        <v>91109.645053900007</v>
      </c>
      <c r="Y458" s="293">
        <v>72940.128387200006</v>
      </c>
      <c r="Z458" s="293">
        <v>75731.734387200006</v>
      </c>
      <c r="AA458" s="293">
        <v>96853.813933900004</v>
      </c>
      <c r="AB458" s="293">
        <v>1059614.7821932</v>
      </c>
    </row>
    <row r="459" spans="10:28" ht="15" customHeight="1" x14ac:dyDescent="0.25">
      <c r="J459" s="291" t="str">
        <f xml:space="preserve"> _xll.EPMOlapMemberO("[COSTCENTER].[PARENTH1].[1001]","","1001","","000")</f>
        <v>1001</v>
      </c>
      <c r="K459" s="299" t="str">
        <f xml:space="preserve"> _xll.EPMOlapMemberO("[C_ACCOUNT].[PARENTH1].[A_6038999]","","A_6038999","","000")</f>
        <v>A_6038999</v>
      </c>
      <c r="L459" s="293" t="str">
        <f>_xll.EPMMemberDesc(K459)</f>
        <v>Employee Expense Reclass</v>
      </c>
      <c r="M459" s="293">
        <v>0</v>
      </c>
      <c r="N459" s="293">
        <v>0</v>
      </c>
      <c r="O459" s="293">
        <v>0</v>
      </c>
      <c r="P459" s="293">
        <v>-4178.2825000000003</v>
      </c>
      <c r="Q459" s="293">
        <v>-4178.2825000000003</v>
      </c>
      <c r="R459" s="293">
        <v>-4178.2825000000003</v>
      </c>
      <c r="S459" s="293">
        <v>-4178.2825000000003</v>
      </c>
      <c r="T459" s="293">
        <v>-4178.2825000000003</v>
      </c>
      <c r="U459" s="293">
        <v>-4178.2825000000003</v>
      </c>
      <c r="V459" s="293">
        <v>-4178.2825000000003</v>
      </c>
      <c r="W459" s="293">
        <v>-4178.2825000000003</v>
      </c>
      <c r="X459" s="293">
        <v>-4178.2825000000003</v>
      </c>
      <c r="Y459" s="293">
        <v>-4178.2825000000003</v>
      </c>
      <c r="Z459" s="293">
        <v>-4178.2825000000003</v>
      </c>
      <c r="AA459" s="293">
        <v>-4178.2825000000003</v>
      </c>
      <c r="AB459" s="293">
        <v>-50139.39</v>
      </c>
    </row>
    <row r="460" spans="10:28" ht="15" customHeight="1" x14ac:dyDescent="0.25">
      <c r="J460" s="291" t="str">
        <f xml:space="preserve"> _xll.EPMOlapMemberO("[COSTCENTER].[PARENTH1].[1001]","","1001","","000")</f>
        <v>1001</v>
      </c>
      <c r="K460" s="299" t="str">
        <f xml:space="preserve"> _xll.EPMOlapMemberO("[C_ACCOUNT].[PARENTH1].[A_6039000]","","A_6039000","","000")</f>
        <v>A_6039000</v>
      </c>
      <c r="L460" s="293" t="str">
        <f>_xll.EPMMemberDesc(K460)</f>
        <v>Employee Reimb Expense sent to Balance Sheet</v>
      </c>
      <c r="M460" s="293">
        <v>0</v>
      </c>
      <c r="N460" s="293">
        <v>0</v>
      </c>
      <c r="O460" s="293">
        <v>0</v>
      </c>
      <c r="P460" s="293">
        <v>3500</v>
      </c>
      <c r="Q460" s="293">
        <v>3500</v>
      </c>
      <c r="R460" s="293">
        <v>3500</v>
      </c>
      <c r="S460" s="293">
        <v>3500</v>
      </c>
      <c r="T460" s="293">
        <v>3500</v>
      </c>
      <c r="U460" s="293">
        <v>3500</v>
      </c>
      <c r="V460" s="293">
        <v>3500</v>
      </c>
      <c r="W460" s="293">
        <v>3500</v>
      </c>
      <c r="X460" s="293">
        <v>3500</v>
      </c>
      <c r="Y460" s="293">
        <v>3500</v>
      </c>
      <c r="Z460" s="293">
        <v>3500</v>
      </c>
      <c r="AA460" s="293">
        <v>3500</v>
      </c>
      <c r="AB460" s="293">
        <v>42000</v>
      </c>
    </row>
    <row r="461" spans="10:28" ht="15" customHeight="1" x14ac:dyDescent="0.25">
      <c r="J461" s="291" t="str">
        <f xml:space="preserve"> _xll.EPMOlapMemberO("[COSTCENTER].[PARENTH1].[1001]","","1001","","000")</f>
        <v>1001</v>
      </c>
      <c r="K461" s="299" t="str">
        <f xml:space="preserve"> _xll.EPMOlapMemberO("[C_ACCOUNT].[PARENTH1].[A_S6030000]","","A_S6030000","","000")</f>
        <v>A_S6030000</v>
      </c>
      <c r="L461" s="293" t="str">
        <f>_xll.EPMMemberDesc(K461)</f>
        <v>Settled Employee Reimbursable Expense</v>
      </c>
      <c r="M461" s="293">
        <v>0</v>
      </c>
      <c r="N461" s="293">
        <v>0</v>
      </c>
      <c r="O461" s="293">
        <v>0</v>
      </c>
      <c r="P461" s="293">
        <v>27398.004813299998</v>
      </c>
      <c r="Q461" s="293">
        <v>28029.483593299999</v>
      </c>
      <c r="R461" s="293">
        <v>28071.494593300002</v>
      </c>
      <c r="S461" s="293">
        <v>39234.994593299998</v>
      </c>
      <c r="T461" s="293">
        <v>42527.3945933</v>
      </c>
      <c r="U461" s="293">
        <v>64022.994593299998</v>
      </c>
      <c r="V461" s="293">
        <v>32082.494593300002</v>
      </c>
      <c r="W461" s="293">
        <v>45092.994593299998</v>
      </c>
      <c r="X461" s="293">
        <v>48322.994593299998</v>
      </c>
      <c r="Y461" s="293">
        <v>49950.3945933</v>
      </c>
      <c r="Z461" s="293">
        <v>43324.994593299998</v>
      </c>
      <c r="AA461" s="293">
        <v>54722.035473299999</v>
      </c>
      <c r="AB461" s="293">
        <v>502780.27521960001</v>
      </c>
    </row>
    <row r="462" spans="10:28" ht="15" customHeight="1" x14ac:dyDescent="0.25">
      <c r="J462" s="291" t="str">
        <f xml:space="preserve"> _xll.EPMOlapMemberO("[COSTCENTER].[PARENTH1].[1001]","","1001","","000")</f>
        <v>1001</v>
      </c>
      <c r="K462" s="299" t="str">
        <f xml:space="preserve"> _xll.EPMOlapMemberO("[C_ACCOUNT].[PARENTH1].[A_S6030050]","","A_S6030050","","000")</f>
        <v>A_S6030050</v>
      </c>
      <c r="L462" s="293" t="str">
        <f>_xll.EPMMemberDesc(K462)</f>
        <v>Settled Empl Exp - Mileage</v>
      </c>
      <c r="M462" s="293">
        <v>0</v>
      </c>
      <c r="N462" s="293">
        <v>0</v>
      </c>
      <c r="O462" s="293">
        <v>0</v>
      </c>
      <c r="P462" s="293">
        <v>1500</v>
      </c>
      <c r="Q462" s="293">
        <v>1500</v>
      </c>
      <c r="R462" s="293">
        <v>1500</v>
      </c>
      <c r="S462" s="293">
        <v>1500</v>
      </c>
      <c r="T462" s="293">
        <v>1500</v>
      </c>
      <c r="U462" s="293">
        <v>1500</v>
      </c>
      <c r="V462" s="293">
        <v>1500</v>
      </c>
      <c r="W462" s="293">
        <v>1500</v>
      </c>
      <c r="X462" s="293">
        <v>1500</v>
      </c>
      <c r="Y462" s="293">
        <v>1500</v>
      </c>
      <c r="Z462" s="293">
        <v>1500</v>
      </c>
      <c r="AA462" s="293">
        <v>1500</v>
      </c>
      <c r="AB462" s="293">
        <v>18000</v>
      </c>
    </row>
    <row r="463" spans="10:28" ht="15" customHeight="1" x14ac:dyDescent="0.25">
      <c r="J463" s="291" t="str">
        <f xml:space="preserve"> _xll.EPMOlapMemberO("[COSTCENTER].[PARENTH1].[1001]","","1001","","000")</f>
        <v>1001</v>
      </c>
      <c r="K463" s="299" t="str">
        <f xml:space="preserve"> _xll.EPMOlapMemberO("[C_ACCOUNT].[PARENTH1].[A_S6030070]","","A_S6030070","","000")</f>
        <v>A_S6030070</v>
      </c>
      <c r="L463" s="293" t="str">
        <f>_xll.EPMMemberDesc(K463)</f>
        <v>Settled Empl Exp - Training</v>
      </c>
      <c r="M463" s="293">
        <v>0</v>
      </c>
      <c r="N463" s="293">
        <v>0</v>
      </c>
      <c r="O463" s="293">
        <v>0</v>
      </c>
      <c r="P463" s="293">
        <v>2082</v>
      </c>
      <c r="Q463" s="293">
        <v>2083</v>
      </c>
      <c r="R463" s="293">
        <v>2085</v>
      </c>
      <c r="S463" s="293">
        <v>2082</v>
      </c>
      <c r="T463" s="293">
        <v>2083</v>
      </c>
      <c r="U463" s="293">
        <v>2085</v>
      </c>
      <c r="V463" s="293">
        <v>2082</v>
      </c>
      <c r="W463" s="293">
        <v>2083</v>
      </c>
      <c r="X463" s="293">
        <v>2085</v>
      </c>
      <c r="Y463" s="293">
        <v>2082</v>
      </c>
      <c r="Z463" s="293">
        <v>2083</v>
      </c>
      <c r="AA463" s="293">
        <v>2084</v>
      </c>
      <c r="AB463" s="293">
        <v>24999</v>
      </c>
    </row>
    <row r="464" spans="10:28" ht="15" customHeight="1" x14ac:dyDescent="0.25">
      <c r="J464" s="291" t="str">
        <f xml:space="preserve"> _xll.EPMOlapMemberO("[COSTCENTER].[PARENTH1].[1001]","","1001","","000")</f>
        <v>1001</v>
      </c>
      <c r="K464" s="299" t="str">
        <f xml:space="preserve"> _xll.EPMOlapMemberO("[C_ACCOUNT].[PARENTH1].[A_S6030800]","","A_S6030800","","000")</f>
        <v>A_S6030800</v>
      </c>
      <c r="L464" s="293" t="str">
        <f>_xll.EPMMemberDesc(K464)</f>
        <v>Settled Empl Exp - Miscellaneous Expense</v>
      </c>
      <c r="M464" s="293">
        <v>0</v>
      </c>
      <c r="N464" s="293">
        <v>0</v>
      </c>
      <c r="O464" s="293">
        <v>0</v>
      </c>
      <c r="P464" s="293">
        <v>139</v>
      </c>
      <c r="Q464" s="293">
        <v>139</v>
      </c>
      <c r="R464" s="293">
        <v>751.5</v>
      </c>
      <c r="S464" s="293">
        <v>139</v>
      </c>
      <c r="T464" s="293">
        <v>139</v>
      </c>
      <c r="U464" s="293">
        <v>751.5</v>
      </c>
      <c r="V464" s="293">
        <v>139</v>
      </c>
      <c r="W464" s="293">
        <v>139</v>
      </c>
      <c r="X464" s="293">
        <v>25139</v>
      </c>
      <c r="Y464" s="293">
        <v>751.5</v>
      </c>
      <c r="Z464" s="293">
        <v>139</v>
      </c>
      <c r="AA464" s="293">
        <v>763.5</v>
      </c>
      <c r="AB464" s="293">
        <v>29130</v>
      </c>
    </row>
    <row r="465" spans="10:28" ht="15" customHeight="1" x14ac:dyDescent="0.25">
      <c r="J465" s="291" t="str">
        <f xml:space="preserve"> _xll.EPMOlapMemberO("[COSTCENTER].[PARENTH1].[1001]","","1001","","000")</f>
        <v>1001</v>
      </c>
      <c r="K465" s="299" t="str">
        <f xml:space="preserve"> _xll.EPMOlapMemberO("[C_ACCOUNT].[PARENTH1].[A_S6038999]","","A_S6038999","","000")</f>
        <v>A_S6038999</v>
      </c>
      <c r="L465" s="293" t="str">
        <f>_xll.EPMMemberDesc(K465)</f>
        <v>Settled Employee Expense Reclass</v>
      </c>
      <c r="M465" s="293">
        <v>0</v>
      </c>
      <c r="N465" s="293">
        <v>0</v>
      </c>
      <c r="O465" s="293">
        <v>0</v>
      </c>
      <c r="P465" s="293">
        <v>1210</v>
      </c>
      <c r="Q465" s="293">
        <v>1210</v>
      </c>
      <c r="R465" s="293">
        <v>1210</v>
      </c>
      <c r="S465" s="293">
        <v>1210</v>
      </c>
      <c r="T465" s="293">
        <v>1210</v>
      </c>
      <c r="U465" s="293">
        <v>1210</v>
      </c>
      <c r="V465" s="293">
        <v>1210</v>
      </c>
      <c r="W465" s="293">
        <v>1210</v>
      </c>
      <c r="X465" s="293">
        <v>1210</v>
      </c>
      <c r="Y465" s="293">
        <v>1210</v>
      </c>
      <c r="Z465" s="293">
        <v>1210</v>
      </c>
      <c r="AA465" s="293">
        <v>1210</v>
      </c>
      <c r="AB465" s="293">
        <v>14520</v>
      </c>
    </row>
    <row r="466" spans="10:28" ht="15" customHeight="1" x14ac:dyDescent="0.2">
      <c r="J466" s="286" t="str">
        <f xml:space="preserve"> _xll.EPMOlapMemberO("[COSTCENTER].[PARENTH1].[1001]","","1001","","000")</f>
        <v>1001</v>
      </c>
      <c r="K466" s="298" t="str">
        <f xml:space="preserve"> _xll.EPMOlapMemberO("[C_ACCOUNT].[PARENTH1].[MAT_SUPPLIES_OM]","","MAT_SUPPLIES_OM","","000")</f>
        <v>MAT_SUPPLIES_OM</v>
      </c>
      <c r="L466" s="286" t="str">
        <f>_xll.EPMMemberDesc(K466)</f>
        <v>Materials and Supplies</v>
      </c>
      <c r="M466" s="287">
        <v>0</v>
      </c>
      <c r="N466" s="287">
        <v>0</v>
      </c>
      <c r="O466" s="287">
        <v>0</v>
      </c>
      <c r="P466" s="287">
        <v>1718420.5940745</v>
      </c>
      <c r="Q466" s="287">
        <v>1910205.9216853001</v>
      </c>
      <c r="R466" s="287">
        <v>2194993.6138712</v>
      </c>
      <c r="S466" s="287">
        <v>1854495.6109056999</v>
      </c>
      <c r="T466" s="287">
        <v>1775205.4040997999</v>
      </c>
      <c r="U466" s="287">
        <v>1817543.7799769</v>
      </c>
      <c r="V466" s="287">
        <v>1763833.9907479</v>
      </c>
      <c r="W466" s="287">
        <v>1743054.1989130999</v>
      </c>
      <c r="X466" s="287">
        <v>1976122.2925535</v>
      </c>
      <c r="Y466" s="287">
        <v>1874196.2550836999</v>
      </c>
      <c r="Z466" s="287">
        <v>1951544.5008910999</v>
      </c>
      <c r="AA466" s="287">
        <v>2012337.1943893</v>
      </c>
      <c r="AB466" s="287">
        <v>22591953.357191999</v>
      </c>
    </row>
    <row r="467" spans="10:28" ht="15" customHeight="1" x14ac:dyDescent="0.25">
      <c r="J467" s="291" t="str">
        <f xml:space="preserve"> _xll.EPMOlapMemberO("[COSTCENTER].[PARENTH1].[1001]","","1001","","000")</f>
        <v>1001</v>
      </c>
      <c r="K467" s="299" t="str">
        <f xml:space="preserve"> _xll.EPMOlapMemberO("[C_ACCOUNT].[PARENTH1].[A_6400010]","","A_6400010","","000")</f>
        <v>A_6400010</v>
      </c>
      <c r="L467" s="293" t="str">
        <f>_xll.EPMMemberDesc(K467)</f>
        <v>Mat &amp; Supp - Furniture &amp; Computer/Office Equipment</v>
      </c>
      <c r="M467" s="293">
        <v>0</v>
      </c>
      <c r="N467" s="293">
        <v>0</v>
      </c>
      <c r="O467" s="293">
        <v>0</v>
      </c>
      <c r="P467" s="293">
        <v>33901.166740000001</v>
      </c>
      <c r="Q467" s="293">
        <v>29424.766739999999</v>
      </c>
      <c r="R467" s="293">
        <v>49179.833406700003</v>
      </c>
      <c r="S467" s="293">
        <v>32567.066739999998</v>
      </c>
      <c r="T467" s="293">
        <v>37208.366739999998</v>
      </c>
      <c r="U467" s="293">
        <v>52098.763406700004</v>
      </c>
      <c r="V467" s="293">
        <v>37878.176740000003</v>
      </c>
      <c r="W467" s="293">
        <v>36881.466740000003</v>
      </c>
      <c r="X467" s="293">
        <v>52718.933406700002</v>
      </c>
      <c r="Y467" s="293">
        <v>34128.066740000002</v>
      </c>
      <c r="Z467" s="293">
        <v>35939.066740000002</v>
      </c>
      <c r="AA467" s="293">
        <v>44792.573406700001</v>
      </c>
      <c r="AB467" s="293">
        <v>476718.2475468</v>
      </c>
    </row>
    <row r="468" spans="10:28" ht="15" customHeight="1" x14ac:dyDescent="0.25">
      <c r="J468" s="291" t="str">
        <f xml:space="preserve"> _xll.EPMOlapMemberO("[COSTCENTER].[PARENTH1].[1001]","","1001","","000")</f>
        <v>1001</v>
      </c>
      <c r="K468" s="299" t="str">
        <f xml:space="preserve"> _xll.EPMOlapMemberO("[C_ACCOUNT].[PARENTH1].[A_6400020]","","A_6400020","","000")</f>
        <v>A_6400020</v>
      </c>
      <c r="L468" s="293" t="str">
        <f>_xll.EPMMemberDesc(K468)</f>
        <v>Mat &amp; Supp - General and Office Supplies</v>
      </c>
      <c r="M468" s="293">
        <v>0</v>
      </c>
      <c r="N468" s="293">
        <v>0</v>
      </c>
      <c r="O468" s="293">
        <v>0</v>
      </c>
      <c r="P468" s="293">
        <v>82075.0668095</v>
      </c>
      <c r="Q468" s="293">
        <v>74985.256809500002</v>
      </c>
      <c r="R468" s="293">
        <v>79869.910142799999</v>
      </c>
      <c r="S468" s="293">
        <v>77252.410809499997</v>
      </c>
      <c r="T468" s="293">
        <v>77267.586809500004</v>
      </c>
      <c r="U468" s="293">
        <v>83418.096142800001</v>
      </c>
      <c r="V468" s="293">
        <v>77168.686809499995</v>
      </c>
      <c r="W468" s="293">
        <v>77644.372809499997</v>
      </c>
      <c r="X468" s="293">
        <v>82900.9141428</v>
      </c>
      <c r="Y468" s="293">
        <v>79152.626809499998</v>
      </c>
      <c r="Z468" s="293">
        <v>79093.190809499996</v>
      </c>
      <c r="AA468" s="293">
        <v>86811.761022799998</v>
      </c>
      <c r="AB468" s="293">
        <v>957639.87992720003</v>
      </c>
    </row>
    <row r="469" spans="10:28" ht="15" customHeight="1" x14ac:dyDescent="0.25">
      <c r="J469" s="291" t="str">
        <f xml:space="preserve"> _xll.EPMOlapMemberO("[COSTCENTER].[PARENTH1].[1001]","","1001","","000")</f>
        <v>1001</v>
      </c>
      <c r="K469" s="299" t="str">
        <f xml:space="preserve"> _xll.EPMOlapMemberO("[C_ACCOUNT].[PARENTH1].[A_6400030]","","A_6400030","","000")</f>
        <v>A_6400030</v>
      </c>
      <c r="L469" s="293" t="str">
        <f>_xll.EPMMemberDesc(K469)</f>
        <v>Mat &amp; Supp - Chemicals</v>
      </c>
      <c r="M469" s="293">
        <v>0</v>
      </c>
      <c r="N469" s="293">
        <v>0</v>
      </c>
      <c r="O469" s="293">
        <v>0</v>
      </c>
      <c r="P469" s="293">
        <v>580369.25699999998</v>
      </c>
      <c r="Q469" s="293">
        <v>583946.25699999998</v>
      </c>
      <c r="R469" s="293">
        <v>636931.08900000004</v>
      </c>
      <c r="S469" s="293">
        <v>631799.08900000004</v>
      </c>
      <c r="T469" s="293">
        <v>626665.08900000004</v>
      </c>
      <c r="U469" s="293">
        <v>641826.92099999997</v>
      </c>
      <c r="V469" s="293">
        <v>625983.92099999997</v>
      </c>
      <c r="W469" s="293">
        <v>639783.92099999997</v>
      </c>
      <c r="X469" s="293">
        <v>636226.92099999997</v>
      </c>
      <c r="Y469" s="293">
        <v>644065.08900000004</v>
      </c>
      <c r="Z469" s="293">
        <v>636080.25699999998</v>
      </c>
      <c r="AA469" s="293">
        <v>647835.25699999998</v>
      </c>
      <c r="AB469" s="293">
        <v>7531513.068</v>
      </c>
    </row>
    <row r="470" spans="10:28" ht="15" customHeight="1" x14ac:dyDescent="0.25">
      <c r="J470" s="291" t="str">
        <f xml:space="preserve"> _xll.EPMOlapMemberO("[COSTCENTER].[PARENTH1].[1001]","","1001","","000")</f>
        <v>1001</v>
      </c>
      <c r="K470" s="299" t="str">
        <f xml:space="preserve"> _xll.EPMOlapMemberO("[C_ACCOUNT].[PARENTH1].[A_6400040]","","A_6400040","","000")</f>
        <v>A_6400040</v>
      </c>
      <c r="L470" s="293" t="str">
        <f>_xll.EPMMemberDesc(K470)</f>
        <v>Mat &amp; Supp - Laboratory materials and supplies</v>
      </c>
      <c r="M470" s="293">
        <v>0</v>
      </c>
      <c r="N470" s="293">
        <v>0</v>
      </c>
      <c r="O470" s="293">
        <v>0</v>
      </c>
      <c r="P470" s="293">
        <v>18477.900000000001</v>
      </c>
      <c r="Q470" s="293">
        <v>18477.900000000001</v>
      </c>
      <c r="R470" s="293">
        <v>19127.900000000001</v>
      </c>
      <c r="S470" s="293">
        <v>19127.900000000001</v>
      </c>
      <c r="T470" s="293">
        <v>18997.900000000001</v>
      </c>
      <c r="U470" s="293">
        <v>19062.900000000001</v>
      </c>
      <c r="V470" s="293">
        <v>18932.900000000001</v>
      </c>
      <c r="W470" s="293">
        <v>19127.900000000001</v>
      </c>
      <c r="X470" s="293">
        <v>18997.900000000001</v>
      </c>
      <c r="Y470" s="293">
        <v>19257.900000000001</v>
      </c>
      <c r="Z470" s="293">
        <v>19257.900000000001</v>
      </c>
      <c r="AA470" s="293">
        <v>19387.900000000001</v>
      </c>
      <c r="AB470" s="293">
        <v>228234.8</v>
      </c>
    </row>
    <row r="471" spans="10:28" ht="15" customHeight="1" x14ac:dyDescent="0.25">
      <c r="J471" s="291" t="str">
        <f xml:space="preserve"> _xll.EPMOlapMemberO("[COSTCENTER].[PARENTH1].[1001]","","1001","","000")</f>
        <v>1001</v>
      </c>
      <c r="K471" s="299" t="str">
        <f xml:space="preserve"> _xll.EPMOlapMemberO("[C_ACCOUNT].[PARENTH1].[A_6400050]","","A_6400050","","000")</f>
        <v>A_6400050</v>
      </c>
      <c r="L471" s="293" t="str">
        <f>_xll.EPMMemberDesc(K471)</f>
        <v>Mat &amp; Supp - Lubricants</v>
      </c>
      <c r="M471" s="293">
        <v>0</v>
      </c>
      <c r="N471" s="293">
        <v>0</v>
      </c>
      <c r="O471" s="293">
        <v>0</v>
      </c>
      <c r="P471" s="293">
        <v>8750</v>
      </c>
      <c r="Q471" s="293">
        <v>8750</v>
      </c>
      <c r="R471" s="293">
        <v>9650</v>
      </c>
      <c r="S471" s="293">
        <v>9650</v>
      </c>
      <c r="T471" s="293">
        <v>9470</v>
      </c>
      <c r="U471" s="293">
        <v>9560</v>
      </c>
      <c r="V471" s="293">
        <v>9380</v>
      </c>
      <c r="W471" s="293">
        <v>9650</v>
      </c>
      <c r="X471" s="293">
        <v>9470</v>
      </c>
      <c r="Y471" s="293">
        <v>9830</v>
      </c>
      <c r="Z471" s="293">
        <v>9830</v>
      </c>
      <c r="AA471" s="293">
        <v>10010</v>
      </c>
      <c r="AB471" s="293">
        <v>114000</v>
      </c>
    </row>
    <row r="472" spans="10:28" ht="15" customHeight="1" x14ac:dyDescent="0.25">
      <c r="J472" s="291" t="str">
        <f xml:space="preserve"> _xll.EPMOlapMemberO("[COSTCENTER].[PARENTH1].[1001]","","1001","","000")</f>
        <v>1001</v>
      </c>
      <c r="K472" s="299" t="str">
        <f xml:space="preserve"> _xll.EPMOlapMemberO("[C_ACCOUNT].[PARENTH1].[A_6400060]","","A_6400060","","000")</f>
        <v>A_6400060</v>
      </c>
      <c r="L472" s="293" t="str">
        <f>_xll.EPMMemberDesc(K472)</f>
        <v>Mat &amp; Supp - Operations Consumables</v>
      </c>
      <c r="M472" s="293">
        <v>0</v>
      </c>
      <c r="N472" s="293">
        <v>0</v>
      </c>
      <c r="O472" s="293">
        <v>0</v>
      </c>
      <c r="P472" s="293">
        <v>33757.417166300002</v>
      </c>
      <c r="Q472" s="293">
        <v>33757.417166300002</v>
      </c>
      <c r="R472" s="293">
        <v>33757.417166300002</v>
      </c>
      <c r="S472" s="293">
        <v>33757.417166300002</v>
      </c>
      <c r="T472" s="293">
        <v>33757.417166300002</v>
      </c>
      <c r="U472" s="293">
        <v>33757.417166300002</v>
      </c>
      <c r="V472" s="293">
        <v>33757.417166300002</v>
      </c>
      <c r="W472" s="293">
        <v>33757.417166300002</v>
      </c>
      <c r="X472" s="293">
        <v>33757.417166300002</v>
      </c>
      <c r="Y472" s="293">
        <v>33757.417166300002</v>
      </c>
      <c r="Z472" s="293">
        <v>33757.417166300002</v>
      </c>
      <c r="AA472" s="293">
        <v>33757.417166300002</v>
      </c>
      <c r="AB472" s="293">
        <v>405089.00599560002</v>
      </c>
    </row>
    <row r="473" spans="10:28" ht="15" customHeight="1" x14ac:dyDescent="0.25">
      <c r="J473" s="291" t="str">
        <f xml:space="preserve"> _xll.EPMOlapMemberO("[COSTCENTER].[PARENTH1].[1001]","","1001","","000")</f>
        <v>1001</v>
      </c>
      <c r="K473" s="299" t="str">
        <f xml:space="preserve"> _xll.EPMOlapMemberO("[C_ACCOUNT].[PARENTH1].[A_6400070]","","A_6400070","","000")</f>
        <v>A_6400070</v>
      </c>
      <c r="L473" s="293" t="str">
        <f>_xll.EPMMemberDesc(K473)</f>
        <v>Mat &amp; Supp - Safety/First Aid Supplies &amp; Equipment</v>
      </c>
      <c r="M473" s="293">
        <v>0</v>
      </c>
      <c r="N473" s="293">
        <v>0</v>
      </c>
      <c r="O473" s="293">
        <v>0</v>
      </c>
      <c r="P473" s="293">
        <v>7963.652</v>
      </c>
      <c r="Q473" s="293">
        <v>9292.2520000000004</v>
      </c>
      <c r="R473" s="293">
        <v>8163.652</v>
      </c>
      <c r="S473" s="293">
        <v>8163.652</v>
      </c>
      <c r="T473" s="293">
        <v>9452.2520000000004</v>
      </c>
      <c r="U473" s="293">
        <v>8654.652</v>
      </c>
      <c r="V473" s="293">
        <v>8103.652</v>
      </c>
      <c r="W473" s="293">
        <v>9492.2520000000004</v>
      </c>
      <c r="X473" s="293">
        <v>8123.652</v>
      </c>
      <c r="Y473" s="293">
        <v>9532.2520000000004</v>
      </c>
      <c r="Z473" s="293">
        <v>8203.652</v>
      </c>
      <c r="AA473" s="293">
        <v>8762.8279999999995</v>
      </c>
      <c r="AB473" s="293">
        <v>103908.4</v>
      </c>
    </row>
    <row r="474" spans="10:28" ht="15" customHeight="1" x14ac:dyDescent="0.25">
      <c r="J474" s="291" t="str">
        <f xml:space="preserve"> _xll.EPMOlapMemberO("[COSTCENTER].[PARENTH1].[1001]","","1001","","000")</f>
        <v>1001</v>
      </c>
      <c r="K474" s="299" t="str">
        <f xml:space="preserve"> _xll.EPMOlapMemberO("[C_ACCOUNT].[PARENTH1].[A_6400080]","","A_6400080","","000")</f>
        <v>A_6400080</v>
      </c>
      <c r="L474" s="293" t="str">
        <f>_xll.EPMMemberDesc(K474)</f>
        <v>Mat &amp; Supp - Vehicle Fuel</v>
      </c>
      <c r="M474" s="293">
        <v>0</v>
      </c>
      <c r="N474" s="293">
        <v>0</v>
      </c>
      <c r="O474" s="293">
        <v>0</v>
      </c>
      <c r="P474" s="293">
        <v>25888</v>
      </c>
      <c r="Q474" s="293">
        <v>25888</v>
      </c>
      <c r="R474" s="293">
        <v>28788</v>
      </c>
      <c r="S474" s="293">
        <v>28788</v>
      </c>
      <c r="T474" s="293">
        <v>28208</v>
      </c>
      <c r="U474" s="293">
        <v>28498</v>
      </c>
      <c r="V474" s="293">
        <v>27918</v>
      </c>
      <c r="W474" s="293">
        <v>28788</v>
      </c>
      <c r="X474" s="293">
        <v>28208</v>
      </c>
      <c r="Y474" s="293">
        <v>29368</v>
      </c>
      <c r="Z474" s="293">
        <v>29368</v>
      </c>
      <c r="AA474" s="293">
        <v>29948</v>
      </c>
      <c r="AB474" s="293">
        <v>339656</v>
      </c>
    </row>
    <row r="475" spans="10:28" ht="15" customHeight="1" x14ac:dyDescent="0.25">
      <c r="J475" s="291" t="str">
        <f xml:space="preserve"> _xll.EPMOlapMemberO("[COSTCENTER].[PARENTH1].[1001]","","1001","","000")</f>
        <v>1001</v>
      </c>
      <c r="K475" s="299" t="str">
        <f xml:space="preserve"> _xll.EPMOlapMemberO("[C_ACCOUNT].[PARENTH1].[A_6400100]","","A_6400100","","000")</f>
        <v>A_6400100</v>
      </c>
      <c r="L475" s="293" t="str">
        <f>_xll.EPMMemberDesc(K475)</f>
        <v>Mat &amp; Supp - Outside Material Purchases</v>
      </c>
      <c r="M475" s="293">
        <v>0</v>
      </c>
      <c r="N475" s="293">
        <v>0</v>
      </c>
      <c r="O475" s="293">
        <v>0</v>
      </c>
      <c r="P475" s="293">
        <v>480192.82993120002</v>
      </c>
      <c r="Q475" s="293">
        <v>620038.4839312</v>
      </c>
      <c r="R475" s="293">
        <v>772804.47993120004</v>
      </c>
      <c r="S475" s="293">
        <v>520799.44993120001</v>
      </c>
      <c r="T475" s="293">
        <v>469771.19993120001</v>
      </c>
      <c r="U475" s="293">
        <v>440429.01993120002</v>
      </c>
      <c r="V475" s="293">
        <v>431783.17993119999</v>
      </c>
      <c r="W475" s="293">
        <v>436342.07993120002</v>
      </c>
      <c r="X475" s="293">
        <v>517877.43593119999</v>
      </c>
      <c r="Y475" s="293">
        <v>507320.79993119999</v>
      </c>
      <c r="Z475" s="293">
        <v>560619.59993120003</v>
      </c>
      <c r="AA475" s="293">
        <v>533601.63793119998</v>
      </c>
      <c r="AB475" s="293">
        <v>6291580.1971744001</v>
      </c>
    </row>
    <row r="476" spans="10:28" ht="15" customHeight="1" x14ac:dyDescent="0.25">
      <c r="J476" s="291" t="str">
        <f xml:space="preserve"> _xll.EPMOlapMemberO("[COSTCENTER].[PARENTH1].[1001]","","1001","","000")</f>
        <v>1001</v>
      </c>
      <c r="K476" s="299" t="str">
        <f xml:space="preserve"> _xll.EPMOlapMemberO("[C_ACCOUNT].[PARENTH1].[A_6400500]","","A_6400500","","000")</f>
        <v>A_6400500</v>
      </c>
      <c r="L476" s="293" t="str">
        <f>_xll.EPMMemberDesc(K476)</f>
        <v>Mat &amp; Supp - Parts</v>
      </c>
      <c r="M476" s="293">
        <v>0</v>
      </c>
      <c r="N476" s="293">
        <v>0</v>
      </c>
      <c r="O476" s="293">
        <v>0</v>
      </c>
      <c r="P476" s="293">
        <v>6750</v>
      </c>
      <c r="Q476" s="293">
        <v>6750</v>
      </c>
      <c r="R476" s="293">
        <v>7650</v>
      </c>
      <c r="S476" s="293">
        <v>7650</v>
      </c>
      <c r="T476" s="293">
        <v>7470</v>
      </c>
      <c r="U476" s="293">
        <v>7560</v>
      </c>
      <c r="V476" s="293">
        <v>7380</v>
      </c>
      <c r="W476" s="293">
        <v>7650</v>
      </c>
      <c r="X476" s="293">
        <v>7470</v>
      </c>
      <c r="Y476" s="293">
        <v>7830</v>
      </c>
      <c r="Z476" s="293">
        <v>7830</v>
      </c>
      <c r="AA476" s="293">
        <v>8010</v>
      </c>
      <c r="AB476" s="293">
        <v>90000</v>
      </c>
    </row>
    <row r="477" spans="10:28" ht="15" customHeight="1" x14ac:dyDescent="0.25">
      <c r="J477" s="291" t="str">
        <f xml:space="preserve"> _xll.EPMOlapMemberO("[COSTCENTER].[PARENTH1].[1001]","","1001","","000")</f>
        <v>1001</v>
      </c>
      <c r="K477" s="299" t="str">
        <f xml:space="preserve"> _xll.EPMOlapMemberO("[C_ACCOUNT].[PARENTH1].[A_6400505]","","A_6400505","","000")</f>
        <v>A_6400505</v>
      </c>
      <c r="L477" s="293" t="str">
        <f>_xll.EPMMemberDesc(K477)</f>
        <v>Mat &amp; Supp - Part Repairs</v>
      </c>
      <c r="M477" s="293">
        <v>0</v>
      </c>
      <c r="N477" s="293">
        <v>0</v>
      </c>
      <c r="O477" s="293">
        <v>0</v>
      </c>
      <c r="P477" s="293">
        <v>600</v>
      </c>
      <c r="Q477" s="293">
        <v>600</v>
      </c>
      <c r="R477" s="293">
        <v>680</v>
      </c>
      <c r="S477" s="293">
        <v>680</v>
      </c>
      <c r="T477" s="293">
        <v>664</v>
      </c>
      <c r="U477" s="293">
        <v>672</v>
      </c>
      <c r="V477" s="293">
        <v>656</v>
      </c>
      <c r="W477" s="293">
        <v>680</v>
      </c>
      <c r="X477" s="293">
        <v>664</v>
      </c>
      <c r="Y477" s="293">
        <v>696</v>
      </c>
      <c r="Z477" s="293">
        <v>696</v>
      </c>
      <c r="AA477" s="293">
        <v>712</v>
      </c>
      <c r="AB477" s="293">
        <v>8000</v>
      </c>
    </row>
    <row r="478" spans="10:28" ht="15" customHeight="1" x14ac:dyDescent="0.25">
      <c r="J478" s="291" t="str">
        <f xml:space="preserve"> _xll.EPMOlapMemberO("[COSTCENTER].[PARENTH1].[1001]","","1001","","000")</f>
        <v>1001</v>
      </c>
      <c r="K478" s="299" t="str">
        <f xml:space="preserve"> _xll.EPMOlapMemberO("[C_ACCOUNT].[PARENTH1].[A_6400510]","","A_6400510","","000")</f>
        <v>A_6400510</v>
      </c>
      <c r="L478" s="293" t="str">
        <f>_xll.EPMMemberDesc(K478)</f>
        <v>Mat &amp; Supp - Small Tools</v>
      </c>
      <c r="M478" s="293">
        <v>0</v>
      </c>
      <c r="N478" s="293">
        <v>0</v>
      </c>
      <c r="O478" s="293">
        <v>0</v>
      </c>
      <c r="P478" s="293">
        <v>2875</v>
      </c>
      <c r="Q478" s="293">
        <v>2875</v>
      </c>
      <c r="R478" s="293">
        <v>2925</v>
      </c>
      <c r="S478" s="293">
        <v>2925</v>
      </c>
      <c r="T478" s="293">
        <v>2915</v>
      </c>
      <c r="U478" s="293">
        <v>2920</v>
      </c>
      <c r="V478" s="293">
        <v>2910</v>
      </c>
      <c r="W478" s="293">
        <v>2925</v>
      </c>
      <c r="X478" s="293">
        <v>2915</v>
      </c>
      <c r="Y478" s="293">
        <v>2935</v>
      </c>
      <c r="Z478" s="293">
        <v>2935</v>
      </c>
      <c r="AA478" s="293">
        <v>2945</v>
      </c>
      <c r="AB478" s="293">
        <v>35000</v>
      </c>
    </row>
    <row r="479" spans="10:28" ht="15" customHeight="1" x14ac:dyDescent="0.25">
      <c r="J479" s="291" t="str">
        <f xml:space="preserve"> _xll.EPMOlapMemberO("[COSTCENTER].[PARENTH1].[1001]","","1001","","000")</f>
        <v>1001</v>
      </c>
      <c r="K479" s="299" t="str">
        <f xml:space="preserve"> _xll.EPMOlapMemberO("[C_ACCOUNT].[PARENTH1].[A_6400520]","","A_6400520","","000")</f>
        <v>A_6400520</v>
      </c>
      <c r="L479" s="293" t="str">
        <f>_xll.EPMMemberDesc(K479)</f>
        <v>Mat &amp; Supp - Obsolete Inventory</v>
      </c>
      <c r="M479" s="293">
        <v>0</v>
      </c>
      <c r="N479" s="293">
        <v>0</v>
      </c>
      <c r="O479" s="293">
        <v>0</v>
      </c>
      <c r="P479" s="293">
        <v>1022</v>
      </c>
      <c r="Q479" s="293">
        <v>1022</v>
      </c>
      <c r="R479" s="293">
        <v>51022</v>
      </c>
      <c r="S479" s="293">
        <v>1022</v>
      </c>
      <c r="T479" s="293">
        <v>1022</v>
      </c>
      <c r="U479" s="293">
        <v>51022</v>
      </c>
      <c r="V479" s="293">
        <v>52122</v>
      </c>
      <c r="W479" s="293">
        <v>1022</v>
      </c>
      <c r="X479" s="293">
        <v>95990</v>
      </c>
      <c r="Y479" s="293">
        <v>1022</v>
      </c>
      <c r="Z479" s="293">
        <v>31682</v>
      </c>
      <c r="AA479" s="293">
        <v>81682</v>
      </c>
      <c r="AB479" s="293">
        <v>369652</v>
      </c>
    </row>
    <row r="480" spans="10:28" ht="15" customHeight="1" x14ac:dyDescent="0.25">
      <c r="J480" s="291" t="str">
        <f xml:space="preserve"> _xll.EPMOlapMemberO("[COSTCENTER].[PARENTH1].[1001]","","1001","","000")</f>
        <v>1001</v>
      </c>
      <c r="K480" s="299" t="str">
        <f xml:space="preserve"> _xll.EPMOlapMemberO("[C_ACCOUNT].[PARENTH1].[A_6400530]","","A_6400530","","000")</f>
        <v>A_6400530</v>
      </c>
      <c r="L480" s="293" t="str">
        <f>_xll.EPMMemberDesc(K480)</f>
        <v>Mat &amp; Supp - Inventory Other</v>
      </c>
      <c r="M480" s="293">
        <v>0</v>
      </c>
      <c r="N480" s="293">
        <v>0</v>
      </c>
      <c r="O480" s="293">
        <v>0</v>
      </c>
      <c r="P480" s="293">
        <v>23275</v>
      </c>
      <c r="Q480" s="293">
        <v>10725</v>
      </c>
      <c r="R480" s="293">
        <v>10525</v>
      </c>
      <c r="S480" s="293">
        <v>11375</v>
      </c>
      <c r="T480" s="293">
        <v>6925</v>
      </c>
      <c r="U480" s="293">
        <v>6925</v>
      </c>
      <c r="V480" s="293">
        <v>7375</v>
      </c>
      <c r="W480" s="293">
        <v>7925</v>
      </c>
      <c r="X480" s="293">
        <v>7125</v>
      </c>
      <c r="Y480" s="293">
        <v>7475</v>
      </c>
      <c r="Z480" s="293">
        <v>10425</v>
      </c>
      <c r="AA480" s="293">
        <v>6925</v>
      </c>
      <c r="AB480" s="293">
        <v>117000</v>
      </c>
    </row>
    <row r="481" spans="10:28" ht="15" customHeight="1" x14ac:dyDescent="0.25">
      <c r="J481" s="291" t="str">
        <f xml:space="preserve"> _xll.EPMOlapMemberO("[COSTCENTER].[PARENTH1].[1001]","","1001","","000")</f>
        <v>1001</v>
      </c>
      <c r="K481" s="299" t="str">
        <f xml:space="preserve"> _xll.EPMOlapMemberO("[C_ACCOUNT].[PARENTH1].[A_6401000]","","A_6401000","","000")</f>
        <v>A_6401000</v>
      </c>
      <c r="L481" s="293" t="str">
        <f>_xll.EPMMemberDesc(K481)</f>
        <v>Mat &amp; Supp - Inventory Issue</v>
      </c>
      <c r="M481" s="293">
        <v>0</v>
      </c>
      <c r="N481" s="293">
        <v>0</v>
      </c>
      <c r="O481" s="293">
        <v>0</v>
      </c>
      <c r="P481" s="293">
        <v>332671.56115919998</v>
      </c>
      <c r="Q481" s="293">
        <v>401486.35715920001</v>
      </c>
      <c r="R481" s="293">
        <v>394072.98115920002</v>
      </c>
      <c r="S481" s="293">
        <v>381214.9611592</v>
      </c>
      <c r="T481" s="293">
        <v>356675.9611592</v>
      </c>
      <c r="U481" s="293">
        <v>347861.56115919998</v>
      </c>
      <c r="V481" s="293">
        <v>342861.56115919998</v>
      </c>
      <c r="W481" s="293">
        <v>350565.64915920002</v>
      </c>
      <c r="X481" s="293">
        <v>395306.75515919999</v>
      </c>
      <c r="Y481" s="293">
        <v>402125.16115920001</v>
      </c>
      <c r="Z481" s="293">
        <v>407137.26115919999</v>
      </c>
      <c r="AA481" s="293">
        <v>403230.66515920003</v>
      </c>
      <c r="AB481" s="293">
        <v>4515210.4359104</v>
      </c>
    </row>
    <row r="482" spans="10:28" ht="15" customHeight="1" x14ac:dyDescent="0.25">
      <c r="J482" s="291" t="str">
        <f xml:space="preserve"> _xll.EPMOlapMemberO("[COSTCENTER].[PARENTH1].[1001]","","1001","","000")</f>
        <v>1001</v>
      </c>
      <c r="K482" s="299" t="str">
        <f xml:space="preserve"> _xll.EPMOlapMemberO("[C_ACCOUNT].[PARENTH1].[A_6408999]","","A_6408999","","000")</f>
        <v>A_6408999</v>
      </c>
      <c r="L482" s="293" t="str">
        <f>_xll.EPMMemberDesc(K482)</f>
        <v>Materials &amp; Supplies Expense Reclass</v>
      </c>
      <c r="M482" s="293">
        <v>0</v>
      </c>
      <c r="N482" s="293">
        <v>0</v>
      </c>
      <c r="O482" s="293">
        <v>0</v>
      </c>
      <c r="P482" s="293">
        <v>-1223.8335651</v>
      </c>
      <c r="Q482" s="293">
        <v>3073.6840456999998</v>
      </c>
      <c r="R482" s="293">
        <v>3462.4042316</v>
      </c>
      <c r="S482" s="293">
        <v>3433.1172661000001</v>
      </c>
      <c r="T482" s="293">
        <v>2673.1844602000001</v>
      </c>
      <c r="U482" s="293">
        <v>3303.3823373</v>
      </c>
      <c r="V482" s="293">
        <v>-491.54755829999999</v>
      </c>
      <c r="W482" s="293">
        <v>2304.0966069000001</v>
      </c>
      <c r="X482" s="293">
        <v>-644.67975269999999</v>
      </c>
      <c r="Y482" s="293">
        <v>2196.1187774999999</v>
      </c>
      <c r="Z482" s="293">
        <v>1075.1125849</v>
      </c>
      <c r="AA482" s="293">
        <v>2410.1112030999998</v>
      </c>
      <c r="AB482" s="293">
        <v>21571.1506372</v>
      </c>
    </row>
    <row r="483" spans="10:28" ht="15" customHeight="1" x14ac:dyDescent="0.25">
      <c r="J483" s="291" t="str">
        <f xml:space="preserve"> _xll.EPMOlapMemberO("[COSTCENTER].[PARENTH1].[1001]","","1001","","000")</f>
        <v>1001</v>
      </c>
      <c r="K483" s="299" t="str">
        <f xml:space="preserve"> _xll.EPMOlapMemberO("[C_ACCOUNT].[PARENTH1].[A_S6400000]","","A_S6400000","","000")</f>
        <v>A_S6400000</v>
      </c>
      <c r="L483" s="293" t="str">
        <f>_xll.EPMMemberDesc(K483)</f>
        <v>Settled Materials &amp; Supplies Expense</v>
      </c>
      <c r="M483" s="293">
        <v>0</v>
      </c>
      <c r="N483" s="293">
        <v>0</v>
      </c>
      <c r="O483" s="293">
        <v>0</v>
      </c>
      <c r="P483" s="293">
        <v>46131.391406700001</v>
      </c>
      <c r="Q483" s="293">
        <v>44031.391406700001</v>
      </c>
      <c r="R483" s="293">
        <v>48031.391406700001</v>
      </c>
      <c r="S483" s="293">
        <v>45631.391406700001</v>
      </c>
      <c r="T483" s="293">
        <v>51031.391406700001</v>
      </c>
      <c r="U483" s="293">
        <v>44031.391406700001</v>
      </c>
      <c r="V483" s="293">
        <v>44631.391406700001</v>
      </c>
      <c r="W483" s="293">
        <v>43031.391406700001</v>
      </c>
      <c r="X483" s="293">
        <v>43531.391406700001</v>
      </c>
      <c r="Y483" s="293">
        <v>48031.391406700001</v>
      </c>
      <c r="Z483" s="293">
        <v>42131.391406700001</v>
      </c>
      <c r="AA483" s="293">
        <v>56031.391406700001</v>
      </c>
      <c r="AB483" s="293">
        <v>556276.69688039995</v>
      </c>
    </row>
    <row r="484" spans="10:28" ht="15" customHeight="1" x14ac:dyDescent="0.25">
      <c r="J484" s="291" t="str">
        <f xml:space="preserve"> _xll.EPMOlapMemberO("[COSTCENTER].[PARENTH1].[1001]","","1001","","000")</f>
        <v>1001</v>
      </c>
      <c r="K484" s="299" t="str">
        <f xml:space="preserve"> _xll.EPMOlapMemberO("[C_ACCOUNT].[PARENTH1].[A_S6401000]","","A_S6401000","","000")</f>
        <v>A_S6401000</v>
      </c>
      <c r="L484" s="293" t="str">
        <f>_xll.EPMMemberDesc(K484)</f>
        <v>Settled M&amp;S Inventory Issues</v>
      </c>
      <c r="M484" s="293">
        <v>0</v>
      </c>
      <c r="N484" s="293">
        <v>0</v>
      </c>
      <c r="O484" s="293">
        <v>0</v>
      </c>
      <c r="P484" s="293">
        <v>34862.518759999999</v>
      </c>
      <c r="Q484" s="293">
        <v>35000.48876</v>
      </c>
      <c r="R484" s="293">
        <v>38270.888760000002</v>
      </c>
      <c r="S484" s="293">
        <v>38577.48876</v>
      </c>
      <c r="T484" s="293">
        <v>34949.388760000002</v>
      </c>
      <c r="U484" s="293">
        <v>35861.008759999997</v>
      </c>
      <c r="V484" s="293">
        <v>35399.068760000002</v>
      </c>
      <c r="W484" s="293">
        <v>35399.068760000002</v>
      </c>
      <c r="X484" s="293">
        <v>35399.068760000002</v>
      </c>
      <c r="Y484" s="293">
        <v>35388.848760000001</v>
      </c>
      <c r="Z484" s="293">
        <v>35399.068760000002</v>
      </c>
      <c r="AA484" s="293">
        <v>35399.068760000002</v>
      </c>
      <c r="AB484" s="293">
        <v>429905.97512000002</v>
      </c>
    </row>
    <row r="485" spans="10:28" ht="15" customHeight="1" x14ac:dyDescent="0.25">
      <c r="J485" s="291" t="str">
        <f xml:space="preserve"> _xll.EPMOlapMemberO("[COSTCENTER].[PARENTH1].[1001]","","1001","","000")</f>
        <v>1001</v>
      </c>
      <c r="K485" s="299" t="str">
        <f xml:space="preserve"> _xll.EPMOlapMemberO("[C_ACCOUNT].[PARENTH1].[A_S6400010]","","A_S6400010","","000")</f>
        <v>A_S6400010</v>
      </c>
      <c r="L485" s="293" t="str">
        <f>_xll.EPMMemberDesc(K485)</f>
        <v>Settled Mat &amp; Supp - Furniture &amp; Computer</v>
      </c>
      <c r="M485" s="293">
        <v>0</v>
      </c>
      <c r="N485" s="293">
        <v>0</v>
      </c>
      <c r="O485" s="293">
        <v>0</v>
      </c>
      <c r="P485" s="293">
        <v>70</v>
      </c>
      <c r="Q485" s="293">
        <v>70</v>
      </c>
      <c r="R485" s="293">
        <v>70</v>
      </c>
      <c r="S485" s="293">
        <v>70</v>
      </c>
      <c r="T485" s="293">
        <v>70</v>
      </c>
      <c r="U485" s="293">
        <v>70</v>
      </c>
      <c r="V485" s="293">
        <v>70</v>
      </c>
      <c r="W485" s="293">
        <v>70</v>
      </c>
      <c r="X485" s="293">
        <v>70</v>
      </c>
      <c r="Y485" s="293">
        <v>70</v>
      </c>
      <c r="Z485" s="293">
        <v>70</v>
      </c>
      <c r="AA485" s="293">
        <v>70</v>
      </c>
      <c r="AB485" s="293">
        <v>840</v>
      </c>
    </row>
    <row r="486" spans="10:28" ht="15" customHeight="1" x14ac:dyDescent="0.25">
      <c r="J486" s="291" t="str">
        <f xml:space="preserve"> _xll.EPMOlapMemberO("[COSTCENTER].[PARENTH1].[1001]","","1001","","000")</f>
        <v>1001</v>
      </c>
      <c r="K486" s="299" t="str">
        <f xml:space="preserve"> _xll.EPMOlapMemberO("[C_ACCOUNT].[PARENTH1].[A_S6400020]","","A_S6400020","","000")</f>
        <v>A_S6400020</v>
      </c>
      <c r="L486" s="293" t="str">
        <f>_xll.EPMMemberDesc(K486)</f>
        <v>Settled Mat &amp; Supp - General and Office</v>
      </c>
      <c r="M486" s="293">
        <v>0</v>
      </c>
      <c r="N486" s="293">
        <v>0</v>
      </c>
      <c r="O486" s="293">
        <v>0</v>
      </c>
      <c r="P486" s="293">
        <v>11.6666667</v>
      </c>
      <c r="Q486" s="293">
        <v>11.6666667</v>
      </c>
      <c r="R486" s="293">
        <v>11.6666667</v>
      </c>
      <c r="S486" s="293">
        <v>11.6666667</v>
      </c>
      <c r="T486" s="293">
        <v>11.6666667</v>
      </c>
      <c r="U486" s="293">
        <v>11.6666667</v>
      </c>
      <c r="V486" s="293">
        <v>14.5833333</v>
      </c>
      <c r="W486" s="293">
        <v>14.5833333</v>
      </c>
      <c r="X486" s="293">
        <v>14.5833333</v>
      </c>
      <c r="Y486" s="293">
        <v>14.5833333</v>
      </c>
      <c r="Z486" s="293">
        <v>14.5833333</v>
      </c>
      <c r="AA486" s="293">
        <v>14.5833333</v>
      </c>
      <c r="AB486" s="293">
        <v>157.5</v>
      </c>
    </row>
    <row r="487" spans="10:28" ht="15" customHeight="1" x14ac:dyDescent="0.2">
      <c r="J487" s="286" t="str">
        <f xml:space="preserve"> _xll.EPMOlapMemberO("[COSTCENTER].[PARENTH1].[1001]","","1001","","000")</f>
        <v>1001</v>
      </c>
      <c r="K487" s="298" t="str">
        <f xml:space="preserve"> _xll.EPMOlapMemberO("[C_ACCOUNT].[PARENTH1].[INSURANCE]","","INSURANCE","","000")</f>
        <v>INSURANCE</v>
      </c>
      <c r="L487" s="286" t="str">
        <f>_xll.EPMMemberDesc(K487)</f>
        <v>Insurance</v>
      </c>
      <c r="M487" s="287">
        <v>0</v>
      </c>
      <c r="N487" s="287">
        <v>0</v>
      </c>
      <c r="O487" s="287">
        <v>0</v>
      </c>
      <c r="P487" s="287">
        <v>2139661.2800000999</v>
      </c>
      <c r="Q487" s="287">
        <v>2139661.2900001002</v>
      </c>
      <c r="R487" s="287">
        <v>2498351.4300000998</v>
      </c>
      <c r="S487" s="287">
        <v>2498351.4600001001</v>
      </c>
      <c r="T487" s="287">
        <v>2498434.5400001002</v>
      </c>
      <c r="U487" s="287">
        <v>2709686.3000000999</v>
      </c>
      <c r="V487" s="287">
        <v>2709686.2500001001</v>
      </c>
      <c r="W487" s="287">
        <v>2715639.0700000999</v>
      </c>
      <c r="X487" s="287">
        <v>2716233.1600000998</v>
      </c>
      <c r="Y487" s="287">
        <v>2716233.1600000998</v>
      </c>
      <c r="Z487" s="287">
        <v>2716233.1600000998</v>
      </c>
      <c r="AA487" s="287">
        <v>3147389.8400001</v>
      </c>
      <c r="AB487" s="287">
        <v>31205560.940001201</v>
      </c>
    </row>
    <row r="488" spans="10:28" ht="15" customHeight="1" x14ac:dyDescent="0.25">
      <c r="J488" s="291" t="str">
        <f xml:space="preserve"> _xll.EPMOlapMemberO("[COSTCENTER].[PARENTH1].[1001]","","1001","","000")</f>
        <v>1001</v>
      </c>
      <c r="K488" s="299" t="str">
        <f xml:space="preserve"> _xll.EPMOlapMemberO("[C_ACCOUNT].[PARENTH1].[A_6700501]","","A_6700501","","000")</f>
        <v>A_6700501</v>
      </c>
      <c r="L488" s="293" t="str">
        <f>_xll.EPMMemberDesc(K488)</f>
        <v>Insurance - Blanket Accident</v>
      </c>
      <c r="M488" s="293">
        <v>0</v>
      </c>
      <c r="N488" s="293">
        <v>0</v>
      </c>
      <c r="O488" s="293">
        <v>0</v>
      </c>
      <c r="P488" s="293">
        <v>40.69</v>
      </c>
      <c r="Q488" s="293">
        <v>40.69</v>
      </c>
      <c r="R488" s="293">
        <v>40.69</v>
      </c>
      <c r="S488" s="293">
        <v>40.69</v>
      </c>
      <c r="T488" s="293">
        <v>40.69</v>
      </c>
      <c r="U488" s="293">
        <v>40.69</v>
      </c>
      <c r="V488" s="293">
        <v>40.69</v>
      </c>
      <c r="W488" s="293">
        <v>40.69</v>
      </c>
      <c r="X488" s="293">
        <v>40.69</v>
      </c>
      <c r="Y488" s="293">
        <v>40.69</v>
      </c>
      <c r="Z488" s="293">
        <v>40.69</v>
      </c>
      <c r="AA488" s="293">
        <v>40.69</v>
      </c>
      <c r="AB488" s="293">
        <v>488.28</v>
      </c>
    </row>
    <row r="489" spans="10:28" ht="15" customHeight="1" x14ac:dyDescent="0.25">
      <c r="J489" s="291" t="str">
        <f xml:space="preserve"> _xll.EPMOlapMemberO("[COSTCENTER].[PARENTH1].[1001]","","1001","","000")</f>
        <v>1001</v>
      </c>
      <c r="K489" s="299" t="str">
        <f xml:space="preserve"> _xll.EPMOlapMemberO("[C_ACCOUNT].[PARENTH1].[A_6700502]","","A_6700502","","000")</f>
        <v>A_6700502</v>
      </c>
      <c r="L489" s="293" t="str">
        <f>_xll.EPMMemberDesc(K489)</f>
        <v>Insurance - Brokerage Fees</v>
      </c>
      <c r="M489" s="293">
        <v>0</v>
      </c>
      <c r="N489" s="293">
        <v>0</v>
      </c>
      <c r="O489" s="293">
        <v>0</v>
      </c>
      <c r="P489" s="293">
        <v>6137.91</v>
      </c>
      <c r="Q489" s="293">
        <v>6137.91</v>
      </c>
      <c r="R489" s="293">
        <v>6137.91</v>
      </c>
      <c r="S489" s="293">
        <v>6137.91</v>
      </c>
      <c r="T489" s="293">
        <v>6137.91</v>
      </c>
      <c r="U489" s="293">
        <v>6137.91</v>
      </c>
      <c r="V489" s="293">
        <v>6137.91</v>
      </c>
      <c r="W489" s="293">
        <v>6137.91</v>
      </c>
      <c r="X489" s="293">
        <v>6137.91</v>
      </c>
      <c r="Y489" s="293">
        <v>6137.91</v>
      </c>
      <c r="Z489" s="293">
        <v>6137.91</v>
      </c>
      <c r="AA489" s="293">
        <v>437294.64</v>
      </c>
      <c r="AB489" s="293">
        <v>504811.65</v>
      </c>
    </row>
    <row r="490" spans="10:28" ht="15" customHeight="1" x14ac:dyDescent="0.25">
      <c r="J490" s="291" t="str">
        <f xml:space="preserve"> _xll.EPMOlapMemberO("[COSTCENTER].[PARENTH1].[1001]","","1001","","000")</f>
        <v>1001</v>
      </c>
      <c r="K490" s="299" t="str">
        <f xml:space="preserve"> _xll.EPMOlapMemberO("[C_ACCOUNT].[PARENTH1].[A_6700503]","","A_6700503","","000")</f>
        <v>A_6700503</v>
      </c>
      <c r="L490" s="293" t="str">
        <f>_xll.EPMMemberDesc(K490)</f>
        <v>Insurance - Crime &amp; Fidelity</v>
      </c>
      <c r="M490" s="293">
        <v>0</v>
      </c>
      <c r="N490" s="293">
        <v>0</v>
      </c>
      <c r="O490" s="293">
        <v>0</v>
      </c>
      <c r="P490" s="293">
        <v>2418.5700000000002</v>
      </c>
      <c r="Q490" s="293">
        <v>2418.59</v>
      </c>
      <c r="R490" s="293">
        <v>2418.59</v>
      </c>
      <c r="S490" s="293">
        <v>2418.59</v>
      </c>
      <c r="T490" s="293">
        <v>2418.59</v>
      </c>
      <c r="U490" s="293">
        <v>2418.59</v>
      </c>
      <c r="V490" s="293">
        <v>2418.59</v>
      </c>
      <c r="W490" s="293">
        <v>2418.59</v>
      </c>
      <c r="X490" s="293">
        <v>2418.59</v>
      </c>
      <c r="Y490" s="293">
        <v>2418.59</v>
      </c>
      <c r="Z490" s="293">
        <v>2418.59</v>
      </c>
      <c r="AA490" s="293">
        <v>2418.59</v>
      </c>
      <c r="AB490" s="293">
        <v>29023.06</v>
      </c>
    </row>
    <row r="491" spans="10:28" ht="15" customHeight="1" x14ac:dyDescent="0.25">
      <c r="J491" s="291" t="str">
        <f xml:space="preserve"> _xll.EPMOlapMemberO("[COSTCENTER].[PARENTH1].[1001]","","1001","","000")</f>
        <v>1001</v>
      </c>
      <c r="K491" s="299" t="str">
        <f xml:space="preserve"> _xll.EPMOlapMemberO("[C_ACCOUNT].[PARENTH1].[A_6700504]","","A_6700504","","000")</f>
        <v>A_6700504</v>
      </c>
      <c r="L491" s="293" t="str">
        <f>_xll.EPMMemberDesc(K491)</f>
        <v>Insurance - Directors &amp; Officers</v>
      </c>
      <c r="M491" s="293">
        <v>0</v>
      </c>
      <c r="N491" s="293">
        <v>0</v>
      </c>
      <c r="O491" s="293">
        <v>0</v>
      </c>
      <c r="P491" s="293">
        <v>26975.57</v>
      </c>
      <c r="Q491" s="293">
        <v>26975.53</v>
      </c>
      <c r="R491" s="293">
        <v>26975.53</v>
      </c>
      <c r="S491" s="293">
        <v>26975.53</v>
      </c>
      <c r="T491" s="293">
        <v>26975.53</v>
      </c>
      <c r="U491" s="293">
        <v>26975.53</v>
      </c>
      <c r="V491" s="293">
        <v>26975.53</v>
      </c>
      <c r="W491" s="293">
        <v>26975.53</v>
      </c>
      <c r="X491" s="293">
        <v>26975.53</v>
      </c>
      <c r="Y491" s="293">
        <v>26975.53</v>
      </c>
      <c r="Z491" s="293">
        <v>26975.53</v>
      </c>
      <c r="AA491" s="293">
        <v>26975.53</v>
      </c>
      <c r="AB491" s="293">
        <v>323706.40000000002</v>
      </c>
    </row>
    <row r="492" spans="10:28" ht="15" customHeight="1" x14ac:dyDescent="0.25">
      <c r="J492" s="291" t="str">
        <f xml:space="preserve"> _xll.EPMOlapMemberO("[COSTCENTER].[PARENTH1].[1001]","","1001","","000")</f>
        <v>1001</v>
      </c>
      <c r="K492" s="299" t="str">
        <f xml:space="preserve"> _xll.EPMOlapMemberO("[C_ACCOUNT].[PARENTH1].[A_6700505]","","A_6700505","","000")</f>
        <v>A_6700505</v>
      </c>
      <c r="L492" s="293" t="str">
        <f>_xll.EPMMemberDesc(K492)</f>
        <v>Insurance - Errors and Omissions</v>
      </c>
      <c r="M492" s="293">
        <v>0</v>
      </c>
      <c r="N492" s="293">
        <v>0</v>
      </c>
      <c r="O492" s="293">
        <v>0</v>
      </c>
      <c r="P492" s="293">
        <v>3900.99</v>
      </c>
      <c r="Q492" s="293">
        <v>3900.99</v>
      </c>
      <c r="R492" s="293">
        <v>3900.99</v>
      </c>
      <c r="S492" s="293">
        <v>3900.99</v>
      </c>
      <c r="T492" s="293">
        <v>3900.99</v>
      </c>
      <c r="U492" s="293">
        <v>3900.99</v>
      </c>
      <c r="V492" s="293">
        <v>3900.99</v>
      </c>
      <c r="W492" s="293">
        <v>3900.99</v>
      </c>
      <c r="X492" s="293">
        <v>3900.99</v>
      </c>
      <c r="Y492" s="293">
        <v>3900.99</v>
      </c>
      <c r="Z492" s="293">
        <v>3900.99</v>
      </c>
      <c r="AA492" s="293">
        <v>3900.99</v>
      </c>
      <c r="AB492" s="293">
        <v>46811.88</v>
      </c>
    </row>
    <row r="493" spans="10:28" ht="15" customHeight="1" x14ac:dyDescent="0.25">
      <c r="J493" s="291" t="str">
        <f xml:space="preserve"> _xll.EPMOlapMemberO("[COSTCENTER].[PARENTH1].[1001]","","1001","","000")</f>
        <v>1001</v>
      </c>
      <c r="K493" s="299" t="str">
        <f xml:space="preserve"> _xll.EPMOlapMemberO("[C_ACCOUNT].[PARENTH1].[A_6700507]","","A_6700507","","000")</f>
        <v>A_6700507</v>
      </c>
      <c r="L493" s="293" t="str">
        <f>_xll.EPMMemberDesc(K493)</f>
        <v>Insurance - Excess General Liability</v>
      </c>
      <c r="M493" s="293">
        <v>0</v>
      </c>
      <c r="N493" s="293">
        <v>0</v>
      </c>
      <c r="O493" s="293">
        <v>0</v>
      </c>
      <c r="P493" s="293">
        <v>845703.49</v>
      </c>
      <c r="Q493" s="293">
        <v>845703.49</v>
      </c>
      <c r="R493" s="293">
        <v>845703.49</v>
      </c>
      <c r="S493" s="293">
        <v>845703.49</v>
      </c>
      <c r="T493" s="293">
        <v>845703.49</v>
      </c>
      <c r="U493" s="293">
        <v>1050141.8400000001</v>
      </c>
      <c r="V493" s="293">
        <v>1050141.78</v>
      </c>
      <c r="W493" s="293">
        <v>1050141.78</v>
      </c>
      <c r="X493" s="293">
        <v>1050141.78</v>
      </c>
      <c r="Y493" s="293">
        <v>1050141.78</v>
      </c>
      <c r="Z493" s="293">
        <v>1050141.78</v>
      </c>
      <c r="AA493" s="293">
        <v>1050141.78</v>
      </c>
      <c r="AB493" s="293">
        <v>11579509.970000001</v>
      </c>
    </row>
    <row r="494" spans="10:28" ht="15" customHeight="1" x14ac:dyDescent="0.25">
      <c r="J494" s="291" t="str">
        <f xml:space="preserve"> _xll.EPMOlapMemberO("[COSTCENTER].[PARENTH1].[1001]","","1001","","000")</f>
        <v>1001</v>
      </c>
      <c r="K494" s="299" t="str">
        <f xml:space="preserve"> _xll.EPMOlapMemberO("[C_ACCOUNT].[PARENTH1].[A_6700508]","","A_6700508","","000")</f>
        <v>A_6700508</v>
      </c>
      <c r="L494" s="293" t="str">
        <f>_xll.EPMMemberDesc(K494)</f>
        <v>Insurance - Fiduciary</v>
      </c>
      <c r="M494" s="293">
        <v>0</v>
      </c>
      <c r="N494" s="293">
        <v>0</v>
      </c>
      <c r="O494" s="293">
        <v>0</v>
      </c>
      <c r="P494" s="293">
        <v>3235.36</v>
      </c>
      <c r="Q494" s="293">
        <v>3235.33</v>
      </c>
      <c r="R494" s="293">
        <v>3235.33</v>
      </c>
      <c r="S494" s="293">
        <v>3235.33</v>
      </c>
      <c r="T494" s="293">
        <v>3235.33</v>
      </c>
      <c r="U494" s="293">
        <v>3235.33</v>
      </c>
      <c r="V494" s="293">
        <v>3235.33</v>
      </c>
      <c r="W494" s="293">
        <v>3235.33</v>
      </c>
      <c r="X494" s="293">
        <v>3235.33</v>
      </c>
      <c r="Y494" s="293">
        <v>3235.33</v>
      </c>
      <c r="Z494" s="293">
        <v>3235.33</v>
      </c>
      <c r="AA494" s="293">
        <v>3235.33</v>
      </c>
      <c r="AB494" s="293">
        <v>38823.99</v>
      </c>
    </row>
    <row r="495" spans="10:28" ht="15" customHeight="1" x14ac:dyDescent="0.25">
      <c r="J495" s="291" t="str">
        <f xml:space="preserve"> _xll.EPMOlapMemberO("[COSTCENTER].[PARENTH1].[1001]","","1001","","000")</f>
        <v>1001</v>
      </c>
      <c r="K495" s="299" t="str">
        <f xml:space="preserve"> _xll.EPMOlapMemberO("[C_ACCOUNT].[PARENTH1].[A_6700509]","","A_6700509","","000")</f>
        <v>A_6700509</v>
      </c>
      <c r="L495" s="293" t="str">
        <f>_xll.EPMMemberDesc(K495)</f>
        <v>Insurance - I&amp;D Reserves</v>
      </c>
      <c r="M495" s="293">
        <v>0</v>
      </c>
      <c r="N495" s="293">
        <v>0</v>
      </c>
      <c r="O495" s="293">
        <v>0</v>
      </c>
      <c r="P495" s="293">
        <v>324084.75</v>
      </c>
      <c r="Q495" s="293">
        <v>324084.75</v>
      </c>
      <c r="R495" s="293">
        <v>324084.75</v>
      </c>
      <c r="S495" s="293">
        <v>324084.75</v>
      </c>
      <c r="T495" s="293">
        <v>324084.75</v>
      </c>
      <c r="U495" s="293">
        <v>324084.75</v>
      </c>
      <c r="V495" s="293">
        <v>324084.75</v>
      </c>
      <c r="W495" s="293">
        <v>324084.75</v>
      </c>
      <c r="X495" s="293">
        <v>324084.75</v>
      </c>
      <c r="Y495" s="293">
        <v>324084.75</v>
      </c>
      <c r="Z495" s="293">
        <v>324084.75</v>
      </c>
      <c r="AA495" s="293">
        <v>324084.75</v>
      </c>
      <c r="AB495" s="293">
        <v>3889017</v>
      </c>
    </row>
    <row r="496" spans="10:28" ht="15" customHeight="1" x14ac:dyDescent="0.25">
      <c r="J496" s="291" t="str">
        <f xml:space="preserve"> _xll.EPMOlapMemberO("[COSTCENTER].[PARENTH1].[1001]","","1001","","000")</f>
        <v>1001</v>
      </c>
      <c r="K496" s="299" t="str">
        <f xml:space="preserve"> _xll.EPMOlapMemberO("[C_ACCOUNT].[PARENTH1].[A_6700510]","","A_6700510","","000")</f>
        <v>A_6700510</v>
      </c>
      <c r="L496" s="293" t="str">
        <f>_xll.EPMMemberDesc(K496)</f>
        <v>Insurance - Longshoremen's Compensation</v>
      </c>
      <c r="M496" s="293">
        <v>0</v>
      </c>
      <c r="N496" s="293">
        <v>0</v>
      </c>
      <c r="O496" s="293">
        <v>0</v>
      </c>
      <c r="P496" s="293">
        <v>1716.6666667</v>
      </c>
      <c r="Q496" s="293">
        <v>1716.6666667</v>
      </c>
      <c r="R496" s="293">
        <v>1716.6666667</v>
      </c>
      <c r="S496" s="293">
        <v>1716.6666667</v>
      </c>
      <c r="T496" s="293">
        <v>1716.6666667</v>
      </c>
      <c r="U496" s="293">
        <v>1716.6666667</v>
      </c>
      <c r="V496" s="293">
        <v>1716.6666667</v>
      </c>
      <c r="W496" s="293">
        <v>1716.6666667</v>
      </c>
      <c r="X496" s="293">
        <v>1716.6666667</v>
      </c>
      <c r="Y496" s="293">
        <v>1716.6666667</v>
      </c>
      <c r="Z496" s="293">
        <v>1716.6666667</v>
      </c>
      <c r="AA496" s="293">
        <v>1716.6666667</v>
      </c>
      <c r="AB496" s="293">
        <v>20600.000000399999</v>
      </c>
    </row>
    <row r="497" spans="10:28" ht="15" customHeight="1" x14ac:dyDescent="0.25">
      <c r="J497" s="291" t="str">
        <f xml:space="preserve"> _xll.EPMOlapMemberO("[COSTCENTER].[PARENTH1].[1001]","","1001","","000")</f>
        <v>1001</v>
      </c>
      <c r="K497" s="299" t="str">
        <f xml:space="preserve"> _xll.EPMOlapMemberO("[C_ACCOUNT].[PARENTH1].[A_6700514]","","A_6700514","","000")</f>
        <v>A_6700514</v>
      </c>
      <c r="L497" s="293" t="str">
        <f>_xll.EPMMemberDesc(K497)</f>
        <v>Insurance - Property</v>
      </c>
      <c r="M497" s="293">
        <v>0</v>
      </c>
      <c r="N497" s="293">
        <v>0</v>
      </c>
      <c r="O497" s="293">
        <v>0</v>
      </c>
      <c r="P497" s="293">
        <v>827272.22</v>
      </c>
      <c r="Q497" s="293">
        <v>827272.22</v>
      </c>
      <c r="R497" s="293">
        <v>1185962.3600000001</v>
      </c>
      <c r="S497" s="293">
        <v>1185962.3899999999</v>
      </c>
      <c r="T497" s="293">
        <v>1185962.3899999999</v>
      </c>
      <c r="U497" s="293">
        <v>1185962.3899999999</v>
      </c>
      <c r="V497" s="293">
        <v>1185962.3899999999</v>
      </c>
      <c r="W497" s="293">
        <v>1185962.3899999999</v>
      </c>
      <c r="X497" s="293">
        <v>1186556.46</v>
      </c>
      <c r="Y497" s="293">
        <v>1186556.46</v>
      </c>
      <c r="Z497" s="293">
        <v>1186556.46</v>
      </c>
      <c r="AA497" s="293">
        <v>1186556.46</v>
      </c>
      <c r="AB497" s="293">
        <v>13516544.59</v>
      </c>
    </row>
    <row r="498" spans="10:28" ht="15" customHeight="1" x14ac:dyDescent="0.25">
      <c r="J498" s="291" t="str">
        <f xml:space="preserve"> _xll.EPMOlapMemberO("[COSTCENTER].[PARENTH1].[1001]","","1001","","000")</f>
        <v>1001</v>
      </c>
      <c r="K498" s="299" t="str">
        <f xml:space="preserve"> _xll.EPMOlapMemberO("[C_ACCOUNT].[PARENTH1].[A_6700515]","","A_6700515","","000")</f>
        <v>A_6700515</v>
      </c>
      <c r="L498" s="293" t="str">
        <f>_xll.EPMMemberDesc(K498)</f>
        <v>Insurance - Punitive Damages</v>
      </c>
      <c r="M498" s="293">
        <v>0</v>
      </c>
      <c r="N498" s="293">
        <v>0</v>
      </c>
      <c r="O498" s="293">
        <v>0</v>
      </c>
      <c r="P498" s="293">
        <v>20612.830000000002</v>
      </c>
      <c r="Q498" s="293">
        <v>20612.830000000002</v>
      </c>
      <c r="R498" s="293">
        <v>20612.830000000002</v>
      </c>
      <c r="S498" s="293">
        <v>20612.830000000002</v>
      </c>
      <c r="T498" s="293">
        <v>20612.830000000002</v>
      </c>
      <c r="U498" s="293">
        <v>27426.240000000002</v>
      </c>
      <c r="V498" s="293">
        <v>27426.25</v>
      </c>
      <c r="W498" s="293">
        <v>27426.25</v>
      </c>
      <c r="X498" s="293">
        <v>27426.25</v>
      </c>
      <c r="Y498" s="293">
        <v>27426.25</v>
      </c>
      <c r="Z498" s="293">
        <v>27426.25</v>
      </c>
      <c r="AA498" s="293">
        <v>27426.23</v>
      </c>
      <c r="AB498" s="293">
        <v>295047.87</v>
      </c>
    </row>
    <row r="499" spans="10:28" ht="15" customHeight="1" x14ac:dyDescent="0.25">
      <c r="J499" s="291" t="str">
        <f xml:space="preserve"> _xll.EPMOlapMemberO("[COSTCENTER].[PARENTH1].[1001]","","1001","","000")</f>
        <v>1001</v>
      </c>
      <c r="K499" s="299" t="str">
        <f xml:space="preserve"> _xll.EPMOlapMemberO("[C_ACCOUNT].[PARENTH1].[A_6700516]","","A_6700516","","000")</f>
        <v>A_6700516</v>
      </c>
      <c r="L499" s="293" t="str">
        <f>_xll.EPMMemberDesc(K499)</f>
        <v>Insurance - Special Risk</v>
      </c>
      <c r="M499" s="293">
        <v>0</v>
      </c>
      <c r="N499" s="293">
        <v>0</v>
      </c>
      <c r="O499" s="293">
        <v>0</v>
      </c>
      <c r="P499" s="293">
        <v>1346.54</v>
      </c>
      <c r="Q499" s="293">
        <v>1346.54</v>
      </c>
      <c r="R499" s="293">
        <v>1346.54</v>
      </c>
      <c r="S499" s="293">
        <v>1346.54</v>
      </c>
      <c r="T499" s="293">
        <v>1346.54</v>
      </c>
      <c r="U499" s="293">
        <v>1346.54</v>
      </c>
      <c r="V499" s="293">
        <v>1346.54</v>
      </c>
      <c r="W499" s="293">
        <v>1346.54</v>
      </c>
      <c r="X499" s="293">
        <v>1346.54</v>
      </c>
      <c r="Y499" s="293">
        <v>1346.54</v>
      </c>
      <c r="Z499" s="293">
        <v>1346.54</v>
      </c>
      <c r="AA499" s="293">
        <v>1346.54</v>
      </c>
      <c r="AB499" s="293">
        <v>16158.48</v>
      </c>
    </row>
    <row r="500" spans="10:28" ht="15" customHeight="1" x14ac:dyDescent="0.25">
      <c r="J500" s="291" t="str">
        <f xml:space="preserve"> _xll.EPMOlapMemberO("[COSTCENTER].[PARENTH1].[1001]","","1001","","000")</f>
        <v>1001</v>
      </c>
      <c r="K500" s="299" t="str">
        <f xml:space="preserve"> _xll.EPMOlapMemberO("[C_ACCOUNT].[PARENTH1].[A_6700517]","","A_6700517","","000")</f>
        <v>A_6700517</v>
      </c>
      <c r="L500" s="293" t="str">
        <f>_xll.EPMMemberDesc(K500)</f>
        <v>Insurance - Surety Bonds</v>
      </c>
      <c r="M500" s="293">
        <v>0</v>
      </c>
      <c r="N500" s="293">
        <v>0</v>
      </c>
      <c r="O500" s="293">
        <v>0</v>
      </c>
      <c r="P500" s="293">
        <v>202.2</v>
      </c>
      <c r="Q500" s="293">
        <v>202.2</v>
      </c>
      <c r="R500" s="293">
        <v>202.2</v>
      </c>
      <c r="S500" s="293">
        <v>202.2</v>
      </c>
      <c r="T500" s="293">
        <v>202.2</v>
      </c>
      <c r="U500" s="293">
        <v>202.2</v>
      </c>
      <c r="V500" s="293">
        <v>202.2</v>
      </c>
      <c r="W500" s="293">
        <v>202.2</v>
      </c>
      <c r="X500" s="293">
        <v>202.2</v>
      </c>
      <c r="Y500" s="293">
        <v>202.2</v>
      </c>
      <c r="Z500" s="293">
        <v>202.2</v>
      </c>
      <c r="AA500" s="293">
        <v>202.2</v>
      </c>
      <c r="AB500" s="293">
        <v>2426.4</v>
      </c>
    </row>
    <row r="501" spans="10:28" ht="15" customHeight="1" x14ac:dyDescent="0.25">
      <c r="J501" s="291" t="str">
        <f xml:space="preserve"> _xll.EPMOlapMemberO("[COSTCENTER].[PARENTH1].[1001]","","1001","","000")</f>
        <v>1001</v>
      </c>
      <c r="K501" s="299" t="str">
        <f xml:space="preserve"> _xll.EPMOlapMemberO("[C_ACCOUNT].[PARENTH1].[A_6700518]","","A_6700518","","000")</f>
        <v>A_6700518</v>
      </c>
      <c r="L501" s="293" t="str">
        <f>_xll.EPMMemberDesc(K501)</f>
        <v>Insurance - Travel Accident</v>
      </c>
      <c r="M501" s="293">
        <v>0</v>
      </c>
      <c r="N501" s="293">
        <v>0</v>
      </c>
      <c r="O501" s="293">
        <v>0</v>
      </c>
      <c r="P501" s="293">
        <v>237.75</v>
      </c>
      <c r="Q501" s="293">
        <v>237.75</v>
      </c>
      <c r="R501" s="293">
        <v>237.75</v>
      </c>
      <c r="S501" s="293">
        <v>237.75</v>
      </c>
      <c r="T501" s="293">
        <v>237.75</v>
      </c>
      <c r="U501" s="293">
        <v>237.75</v>
      </c>
      <c r="V501" s="293">
        <v>237.75</v>
      </c>
      <c r="W501" s="293">
        <v>237.75</v>
      </c>
      <c r="X501" s="293">
        <v>237.75</v>
      </c>
      <c r="Y501" s="293">
        <v>237.75</v>
      </c>
      <c r="Z501" s="293">
        <v>237.75</v>
      </c>
      <c r="AA501" s="293">
        <v>237.75</v>
      </c>
      <c r="AB501" s="293">
        <v>2853</v>
      </c>
    </row>
    <row r="502" spans="10:28" ht="15" customHeight="1" x14ac:dyDescent="0.25">
      <c r="J502" s="291" t="str">
        <f xml:space="preserve"> _xll.EPMOlapMemberO("[COSTCENTER].[PARENTH1].[1001]","","1001","","000")</f>
        <v>1001</v>
      </c>
      <c r="K502" s="299" t="str">
        <f xml:space="preserve"> _xll.EPMOlapMemberO("[C_ACCOUNT].[PARENTH1].[A_6700519]","","A_6700519","","000")</f>
        <v>A_6700519</v>
      </c>
      <c r="L502" s="293" t="str">
        <f>_xll.EPMMemberDesc(K502)</f>
        <v>Insurance - Workers Compensation - Excess</v>
      </c>
      <c r="M502" s="293">
        <v>0</v>
      </c>
      <c r="N502" s="293">
        <v>0</v>
      </c>
      <c r="O502" s="293">
        <v>0</v>
      </c>
      <c r="P502" s="293">
        <v>39451.231666699998</v>
      </c>
      <c r="Q502" s="293">
        <v>39451.231666699998</v>
      </c>
      <c r="R502" s="293">
        <v>39451.231666699998</v>
      </c>
      <c r="S502" s="293">
        <v>39451.231666699998</v>
      </c>
      <c r="T502" s="293">
        <v>39451.231666699998</v>
      </c>
      <c r="U502" s="293">
        <v>39451.231666699998</v>
      </c>
      <c r="V502" s="293">
        <v>39451.231666699998</v>
      </c>
      <c r="W502" s="293">
        <v>39451.231666699998</v>
      </c>
      <c r="X502" s="293">
        <v>39451.231666699998</v>
      </c>
      <c r="Y502" s="293">
        <v>39451.231666699998</v>
      </c>
      <c r="Z502" s="293">
        <v>39451.231666699998</v>
      </c>
      <c r="AA502" s="293">
        <v>39451.231666699998</v>
      </c>
      <c r="AB502" s="293">
        <v>473414.78000039997</v>
      </c>
    </row>
    <row r="503" spans="10:28" ht="15" customHeight="1" x14ac:dyDescent="0.25">
      <c r="J503" s="291" t="str">
        <f xml:space="preserve"> _xll.EPMOlapMemberO("[COSTCENTER].[PARENTH1].[1001]","","1001","","000")</f>
        <v>1001</v>
      </c>
      <c r="K503" s="299" t="str">
        <f xml:space="preserve"> _xll.EPMOlapMemberO("[C_ACCOUNT].[PARENTH1].[A_6700520]","","A_6700520","","000")</f>
        <v>A_6700520</v>
      </c>
      <c r="L503" s="293" t="str">
        <f>_xll.EPMMemberDesc(K503)</f>
        <v>Insurance - Workers Compensation - States</v>
      </c>
      <c r="M503" s="293">
        <v>0</v>
      </c>
      <c r="N503" s="293">
        <v>0</v>
      </c>
      <c r="O503" s="293">
        <v>0</v>
      </c>
      <c r="P503" s="293">
        <v>7982.5</v>
      </c>
      <c r="Q503" s="293">
        <v>7982.5</v>
      </c>
      <c r="R503" s="293">
        <v>7982.5</v>
      </c>
      <c r="S503" s="293">
        <v>7982.5</v>
      </c>
      <c r="T503" s="293">
        <v>7982.5</v>
      </c>
      <c r="U503" s="293">
        <v>7982.5</v>
      </c>
      <c r="V503" s="293">
        <v>7982.5</v>
      </c>
      <c r="W503" s="293">
        <v>7982.5</v>
      </c>
      <c r="X503" s="293">
        <v>7982.5</v>
      </c>
      <c r="Y503" s="293">
        <v>7982.5</v>
      </c>
      <c r="Z503" s="293">
        <v>7982.5</v>
      </c>
      <c r="AA503" s="293">
        <v>7982.5</v>
      </c>
      <c r="AB503" s="293">
        <v>95790</v>
      </c>
    </row>
    <row r="504" spans="10:28" ht="15" customHeight="1" x14ac:dyDescent="0.25">
      <c r="J504" s="291" t="str">
        <f xml:space="preserve"> _xll.EPMOlapMemberO("[COSTCENTER].[PARENTH1].[1001]","","1001","","000")</f>
        <v>1001</v>
      </c>
      <c r="K504" s="299" t="str">
        <f xml:space="preserve"> _xll.EPMOlapMemberO("[C_ACCOUNT].[PARENTH1].[A_6700599]","","A_6700599","","000")</f>
        <v>A_6700599</v>
      </c>
      <c r="L504" s="293" t="str">
        <f>_xll.EPMMemberDesc(K504)</f>
        <v>Insurance - Other</v>
      </c>
      <c r="M504" s="293">
        <v>0</v>
      </c>
      <c r="N504" s="293">
        <v>0</v>
      </c>
      <c r="O504" s="293">
        <v>0</v>
      </c>
      <c r="P504" s="293">
        <v>28342.0116667</v>
      </c>
      <c r="Q504" s="293">
        <v>28342.071666700002</v>
      </c>
      <c r="R504" s="293">
        <v>28342.071666700002</v>
      </c>
      <c r="S504" s="293">
        <v>28342.071666700002</v>
      </c>
      <c r="T504" s="293">
        <v>28425.1516667</v>
      </c>
      <c r="U504" s="293">
        <v>28425.1516667</v>
      </c>
      <c r="V504" s="293">
        <v>28425.1516667</v>
      </c>
      <c r="W504" s="293">
        <v>34377.971666700003</v>
      </c>
      <c r="X504" s="293">
        <v>34377.9916667</v>
      </c>
      <c r="Y504" s="293">
        <v>34377.9916667</v>
      </c>
      <c r="Z504" s="293">
        <v>34377.9916667</v>
      </c>
      <c r="AA504" s="293">
        <v>34377.961666700001</v>
      </c>
      <c r="AB504" s="293">
        <v>370533.59000040003</v>
      </c>
    </row>
    <row r="505" spans="10:28" ht="15" customHeight="1" x14ac:dyDescent="0.2">
      <c r="J505" s="286" t="str">
        <f xml:space="preserve"> _xll.EPMOlapMemberO("[COSTCENTER].[PARENTH1].[1001]","","1001","","000")</f>
        <v>1001</v>
      </c>
      <c r="K505" s="298" t="str">
        <f xml:space="preserve"> _xll.EPMOlapMemberO("[C_ACCOUNT].[PARENTH1].[RENT]","","RENT","","000")</f>
        <v>RENT</v>
      </c>
      <c r="L505" s="286" t="str">
        <f>_xll.EPMMemberDesc(K505)</f>
        <v>Rent</v>
      </c>
      <c r="M505" s="287">
        <v>0</v>
      </c>
      <c r="N505" s="287">
        <v>0</v>
      </c>
      <c r="O505" s="287">
        <v>0</v>
      </c>
      <c r="P505" s="287">
        <v>31921.62874</v>
      </c>
      <c r="Q505" s="287">
        <v>31920.606739999999</v>
      </c>
      <c r="R505" s="287">
        <v>31920.606739999999</v>
      </c>
      <c r="S505" s="287">
        <v>31920.606739999999</v>
      </c>
      <c r="T505" s="287">
        <v>31920.606739999999</v>
      </c>
      <c r="U505" s="287">
        <v>64920.606740000003</v>
      </c>
      <c r="V505" s="287">
        <v>31920.606739999999</v>
      </c>
      <c r="W505" s="287">
        <v>31920.606739999999</v>
      </c>
      <c r="X505" s="287">
        <v>48420.606740000003</v>
      </c>
      <c r="Y505" s="287">
        <v>31920.606739999999</v>
      </c>
      <c r="Z505" s="287">
        <v>31920.606739999999</v>
      </c>
      <c r="AA505" s="287">
        <v>31920.606739999999</v>
      </c>
      <c r="AB505" s="287">
        <v>432548.30287999997</v>
      </c>
    </row>
    <row r="506" spans="10:28" ht="15" customHeight="1" x14ac:dyDescent="0.25">
      <c r="J506" s="291" t="str">
        <f xml:space="preserve"> _xll.EPMOlapMemberO("[COSTCENTER].[PARENTH1].[1001]","","1001","","000")</f>
        <v>1001</v>
      </c>
      <c r="K506" s="299" t="str">
        <f xml:space="preserve"> _xll.EPMOlapMemberO("[C_ACCOUNT].[PARENTH1].[A_6710020]","","A_6710020","","000")</f>
        <v>A_6710020</v>
      </c>
      <c r="L506" s="293" t="str">
        <f>_xll.EPMMemberDesc(K506)</f>
        <v>Short-term Rent - Non-Office Equipment</v>
      </c>
      <c r="M506" s="293">
        <v>0</v>
      </c>
      <c r="N506" s="293">
        <v>0</v>
      </c>
      <c r="O506" s="293">
        <v>0</v>
      </c>
      <c r="P506" s="293">
        <v>100</v>
      </c>
      <c r="Q506" s="293">
        <v>100</v>
      </c>
      <c r="R506" s="293">
        <v>100</v>
      </c>
      <c r="S506" s="293">
        <v>100</v>
      </c>
      <c r="T506" s="293">
        <v>100</v>
      </c>
      <c r="U506" s="293">
        <v>33100</v>
      </c>
      <c r="V506" s="293">
        <v>100</v>
      </c>
      <c r="W506" s="293">
        <v>100</v>
      </c>
      <c r="X506" s="293">
        <v>16600</v>
      </c>
      <c r="Y506" s="293">
        <v>100</v>
      </c>
      <c r="Z506" s="293">
        <v>100</v>
      </c>
      <c r="AA506" s="293">
        <v>100</v>
      </c>
      <c r="AB506" s="293">
        <v>50700</v>
      </c>
    </row>
    <row r="507" spans="10:28" ht="15" customHeight="1" x14ac:dyDescent="0.25">
      <c r="J507" s="291" t="str">
        <f xml:space="preserve"> _xll.EPMOlapMemberO("[COSTCENTER].[PARENTH1].[1001]","","1001","","000")</f>
        <v>1001</v>
      </c>
      <c r="K507" s="299" t="str">
        <f xml:space="preserve"> _xll.EPMOlapMemberO("[C_ACCOUNT].[PARENTH1].[A_6710040]","","A_6710040","","000")</f>
        <v>A_6710040</v>
      </c>
      <c r="L507" s="293" t="str">
        <f>_xll.EPMMemberDesc(K507)</f>
        <v>Short-term Rent - Office Space</v>
      </c>
      <c r="M507" s="293">
        <v>0</v>
      </c>
      <c r="N507" s="293">
        <v>0</v>
      </c>
      <c r="O507" s="293">
        <v>0</v>
      </c>
      <c r="P507" s="293">
        <v>-272673</v>
      </c>
      <c r="Q507" s="293">
        <v>-272673</v>
      </c>
      <c r="R507" s="293">
        <v>-272673</v>
      </c>
      <c r="S507" s="293">
        <v>-272673</v>
      </c>
      <c r="T507" s="293">
        <v>-272673</v>
      </c>
      <c r="U507" s="293">
        <v>-272673</v>
      </c>
      <c r="V507" s="293">
        <v>-272673</v>
      </c>
      <c r="W507" s="293">
        <v>-272673</v>
      </c>
      <c r="X507" s="293">
        <v>-272673</v>
      </c>
      <c r="Y507" s="293">
        <v>-272673</v>
      </c>
      <c r="Z507" s="293">
        <v>-272673</v>
      </c>
      <c r="AA507" s="293">
        <v>-272673</v>
      </c>
      <c r="AB507" s="293">
        <v>-3272076</v>
      </c>
    </row>
    <row r="508" spans="10:28" ht="15" customHeight="1" x14ac:dyDescent="0.25">
      <c r="J508" s="291" t="str">
        <f xml:space="preserve"> _xll.EPMOlapMemberO("[COSTCENTER].[PARENTH1].[1001]","","1001","","000")</f>
        <v>1001</v>
      </c>
      <c r="K508" s="299" t="str">
        <f xml:space="preserve"> _xll.EPMOlapMemberO("[C_ACCOUNT].[PARENTH1].[A_6710700]","","A_6710700","","000")</f>
        <v>A_6710700</v>
      </c>
      <c r="L508" s="293" t="str">
        <f>_xll.EPMMemberDesc(K508)</f>
        <v>Short-term Rent - Intercompany</v>
      </c>
      <c r="M508" s="293">
        <v>0</v>
      </c>
      <c r="N508" s="293">
        <v>0</v>
      </c>
      <c r="O508" s="293">
        <v>0</v>
      </c>
      <c r="P508" s="293">
        <v>272836</v>
      </c>
      <c r="Q508" s="293">
        <v>272836</v>
      </c>
      <c r="R508" s="293">
        <v>272836</v>
      </c>
      <c r="S508" s="293">
        <v>272836</v>
      </c>
      <c r="T508" s="293">
        <v>272836</v>
      </c>
      <c r="U508" s="293">
        <v>272836</v>
      </c>
      <c r="V508" s="293">
        <v>272836</v>
      </c>
      <c r="W508" s="293">
        <v>272836</v>
      </c>
      <c r="X508" s="293">
        <v>272836</v>
      </c>
      <c r="Y508" s="293">
        <v>272836</v>
      </c>
      <c r="Z508" s="293">
        <v>272836</v>
      </c>
      <c r="AA508" s="293">
        <v>272836</v>
      </c>
      <c r="AB508" s="293">
        <v>3274032</v>
      </c>
    </row>
    <row r="509" spans="10:28" ht="15" customHeight="1" x14ac:dyDescent="0.25">
      <c r="J509" s="291" t="str">
        <f xml:space="preserve"> _xll.EPMOlapMemberO("[COSTCENTER].[PARENTH1].[1001]","","1001","","000")</f>
        <v>1001</v>
      </c>
      <c r="K509" s="299" t="str">
        <f xml:space="preserve"> _xll.EPMOlapMemberO("[C_ACCOUNT].[PARENTH1].[A_6710800]","","A_6710800","","000")</f>
        <v>A_6710800</v>
      </c>
      <c r="L509" s="293" t="str">
        <f>_xll.EPMMemberDesc(K509)</f>
        <v>Short-term Rent - Other</v>
      </c>
      <c r="M509" s="293">
        <v>0</v>
      </c>
      <c r="N509" s="293">
        <v>0</v>
      </c>
      <c r="O509" s="293">
        <v>0</v>
      </c>
      <c r="P509" s="293">
        <v>31658.62874</v>
      </c>
      <c r="Q509" s="293">
        <v>31657.606739999999</v>
      </c>
      <c r="R509" s="293">
        <v>31657.606739999999</v>
      </c>
      <c r="S509" s="293">
        <v>31657.606739999999</v>
      </c>
      <c r="T509" s="293">
        <v>31657.606739999999</v>
      </c>
      <c r="U509" s="293">
        <v>31657.606739999999</v>
      </c>
      <c r="V509" s="293">
        <v>31657.606739999999</v>
      </c>
      <c r="W509" s="293">
        <v>31657.606739999999</v>
      </c>
      <c r="X509" s="293">
        <v>31657.606739999999</v>
      </c>
      <c r="Y509" s="293">
        <v>31657.606739999999</v>
      </c>
      <c r="Z509" s="293">
        <v>31657.606739999999</v>
      </c>
      <c r="AA509" s="293">
        <v>31657.606739999999</v>
      </c>
      <c r="AB509" s="293">
        <v>379892.30287999997</v>
      </c>
    </row>
    <row r="510" spans="10:28" ht="15" customHeight="1" x14ac:dyDescent="0.2">
      <c r="J510" s="286" t="str">
        <f xml:space="preserve"> _xll.EPMOlapMemberO("[COSTCENTER].[PARENTH1].[1001]","","1001","","000")</f>
        <v>1001</v>
      </c>
      <c r="K510" s="298" t="str">
        <f xml:space="preserve"> _xll.EPMOlapMemberO("[C_ACCOUNT].[PARENTH1].[LEASE]","","LEASE","","000")</f>
        <v>LEASE</v>
      </c>
      <c r="L510" s="286" t="str">
        <f>_xll.EPMMemberDesc(K510)</f>
        <v>Lease</v>
      </c>
      <c r="M510" s="287">
        <v>0</v>
      </c>
      <c r="N510" s="287">
        <v>0</v>
      </c>
      <c r="O510" s="287">
        <v>0</v>
      </c>
      <c r="P510" s="287">
        <v>266689.62199999997</v>
      </c>
      <c r="Q510" s="287">
        <v>238970</v>
      </c>
      <c r="R510" s="287">
        <v>236827.6</v>
      </c>
      <c r="S510" s="287">
        <v>236827.6</v>
      </c>
      <c r="T510" s="287">
        <v>236397.6</v>
      </c>
      <c r="U510" s="287">
        <v>240905</v>
      </c>
      <c r="V510" s="287">
        <v>237207.6</v>
      </c>
      <c r="W510" s="287">
        <v>237852.6</v>
      </c>
      <c r="X510" s="287">
        <v>241715</v>
      </c>
      <c r="Y510" s="287">
        <v>238282.6</v>
      </c>
      <c r="Z510" s="287">
        <v>238282.6</v>
      </c>
      <c r="AA510" s="287">
        <v>243223.4</v>
      </c>
      <c r="AB510" s="287">
        <v>2893181.2220000001</v>
      </c>
    </row>
    <row r="511" spans="10:28" ht="15" customHeight="1" x14ac:dyDescent="0.25">
      <c r="J511" s="291" t="str">
        <f xml:space="preserve"> _xll.EPMOlapMemberO("[COSTCENTER].[PARENTH1].[1001]","","1001","","000")</f>
        <v>1001</v>
      </c>
      <c r="K511" s="299" t="str">
        <f xml:space="preserve"> _xll.EPMOlapMemberO("[C_ACCOUNT].[PARENTH1].[A_6720010]","","A_6720010","","000")</f>
        <v>A_6720010</v>
      </c>
      <c r="L511" s="293" t="str">
        <f>_xll.EPMMemberDesc(K511)</f>
        <v>Long-term Lease - Building</v>
      </c>
      <c r="M511" s="293">
        <v>0</v>
      </c>
      <c r="N511" s="293">
        <v>0</v>
      </c>
      <c r="O511" s="293">
        <v>0</v>
      </c>
      <c r="P511" s="293">
        <v>118529</v>
      </c>
      <c r="Q511" s="293">
        <v>118529</v>
      </c>
      <c r="R511" s="293">
        <v>118529</v>
      </c>
      <c r="S511" s="293">
        <v>118529</v>
      </c>
      <c r="T511" s="293">
        <v>118529</v>
      </c>
      <c r="U511" s="293">
        <v>118529</v>
      </c>
      <c r="V511" s="293">
        <v>118529</v>
      </c>
      <c r="W511" s="293">
        <v>118529</v>
      </c>
      <c r="X511" s="293">
        <v>118529</v>
      </c>
      <c r="Y511" s="293">
        <v>118529</v>
      </c>
      <c r="Z511" s="293">
        <v>118529</v>
      </c>
      <c r="AA511" s="293">
        <v>118529</v>
      </c>
      <c r="AB511" s="293">
        <v>1422348</v>
      </c>
    </row>
    <row r="512" spans="10:28" ht="15" customHeight="1" x14ac:dyDescent="0.25">
      <c r="J512" s="291" t="str">
        <f xml:space="preserve"> _xll.EPMOlapMemberO("[COSTCENTER].[PARENTH1].[1001]","","1001","","000")</f>
        <v>1001</v>
      </c>
      <c r="K512" s="299" t="str">
        <f xml:space="preserve"> _xll.EPMOlapMemberO("[C_ACCOUNT].[PARENTH1].[A_6720030]","","A_6720030","","000")</f>
        <v>A_6720030</v>
      </c>
      <c r="L512" s="293" t="str">
        <f>_xll.EPMMemberDesc(K512)</f>
        <v>Long-term Lease - Office Equipment</v>
      </c>
      <c r="M512" s="293">
        <v>0</v>
      </c>
      <c r="N512" s="293">
        <v>0</v>
      </c>
      <c r="O512" s="293">
        <v>0</v>
      </c>
      <c r="P512" s="293">
        <v>1.022</v>
      </c>
      <c r="Q512" s="293">
        <v>4292.3999999999996</v>
      </c>
      <c r="R512" s="293">
        <v>0</v>
      </c>
      <c r="S512" s="293">
        <v>0</v>
      </c>
      <c r="T512" s="293">
        <v>0</v>
      </c>
      <c r="U512" s="293">
        <v>4292.3999999999996</v>
      </c>
      <c r="V512" s="293">
        <v>0</v>
      </c>
      <c r="W512" s="293">
        <v>0</v>
      </c>
      <c r="X512" s="293">
        <v>4292.3999999999996</v>
      </c>
      <c r="Y512" s="293">
        <v>0</v>
      </c>
      <c r="Z512" s="293">
        <v>0</v>
      </c>
      <c r="AA512" s="293">
        <v>4510.8</v>
      </c>
      <c r="AB512" s="293">
        <v>17389.022000000001</v>
      </c>
    </row>
    <row r="513" spans="10:28" ht="15" customHeight="1" x14ac:dyDescent="0.25">
      <c r="J513" s="291" t="str">
        <f xml:space="preserve"> _xll.EPMOlapMemberO("[COSTCENTER].[PARENTH1].[1001]","","1001","","000")</f>
        <v>1001</v>
      </c>
      <c r="K513" s="299" t="str">
        <f xml:space="preserve"> _xll.EPMOlapMemberO("[C_ACCOUNT].[PARENTH1].[A_6720050]","","A_6720050","","000")</f>
        <v>A_6720050</v>
      </c>
      <c r="L513" s="293" t="str">
        <f>_xll.EPMMemberDesc(K513)</f>
        <v>Long-term Lease - Vehicle</v>
      </c>
      <c r="M513" s="293">
        <v>0</v>
      </c>
      <c r="N513" s="293">
        <v>0</v>
      </c>
      <c r="O513" s="293">
        <v>0</v>
      </c>
      <c r="P513" s="293">
        <v>16227.2</v>
      </c>
      <c r="Q513" s="293">
        <v>16227.2</v>
      </c>
      <c r="R513" s="293">
        <v>18377.2</v>
      </c>
      <c r="S513" s="293">
        <v>18377.2</v>
      </c>
      <c r="T513" s="293">
        <v>17947.2</v>
      </c>
      <c r="U513" s="293">
        <v>18162.2</v>
      </c>
      <c r="V513" s="293">
        <v>17732.2</v>
      </c>
      <c r="W513" s="293">
        <v>18377.2</v>
      </c>
      <c r="X513" s="293">
        <v>17947.2</v>
      </c>
      <c r="Y513" s="293">
        <v>18807.2</v>
      </c>
      <c r="Z513" s="293">
        <v>18807.2</v>
      </c>
      <c r="AA513" s="293">
        <v>19237.2</v>
      </c>
      <c r="AB513" s="293">
        <v>216226.4</v>
      </c>
    </row>
    <row r="514" spans="10:28" ht="15" customHeight="1" x14ac:dyDescent="0.25">
      <c r="J514" s="291" t="str">
        <f xml:space="preserve"> _xll.EPMOlapMemberO("[COSTCENTER].[PARENTH1].[1001]","","1001","","000")</f>
        <v>1001</v>
      </c>
      <c r="K514" s="299" t="str">
        <f xml:space="preserve"> _xll.EPMOlapMemberO("[C_ACCOUNT].[PARENTH1].[A_6720800]","","A_6720800","","000")</f>
        <v>A_6720800</v>
      </c>
      <c r="L514" s="293" t="str">
        <f>_xll.EPMMemberDesc(K514)</f>
        <v>Long-term Lease - Other</v>
      </c>
      <c r="M514" s="293">
        <v>0</v>
      </c>
      <c r="N514" s="293">
        <v>0</v>
      </c>
      <c r="O514" s="293">
        <v>0</v>
      </c>
      <c r="P514" s="293">
        <v>48896.4</v>
      </c>
      <c r="Q514" s="293">
        <v>13370.4</v>
      </c>
      <c r="R514" s="293">
        <v>13370.4</v>
      </c>
      <c r="S514" s="293">
        <v>13370.4</v>
      </c>
      <c r="T514" s="293">
        <v>13370.4</v>
      </c>
      <c r="U514" s="293">
        <v>13370.4</v>
      </c>
      <c r="V514" s="293">
        <v>13370.4</v>
      </c>
      <c r="W514" s="293">
        <v>13370.4</v>
      </c>
      <c r="X514" s="293">
        <v>13370.4</v>
      </c>
      <c r="Y514" s="293">
        <v>13370.4</v>
      </c>
      <c r="Z514" s="293">
        <v>13370.4</v>
      </c>
      <c r="AA514" s="293">
        <v>13370.4</v>
      </c>
      <c r="AB514" s="293">
        <v>195970.8</v>
      </c>
    </row>
    <row r="515" spans="10:28" ht="15" customHeight="1" x14ac:dyDescent="0.25">
      <c r="J515" s="291" t="str">
        <f xml:space="preserve"> _xll.EPMOlapMemberO("[COSTCENTER].[PARENTH1].[1001]","","1001","","000")</f>
        <v>1001</v>
      </c>
      <c r="K515" s="299" t="str">
        <f xml:space="preserve"> _xll.EPMOlapMemberO("[C_ACCOUNT].[PARENTH1].[A_S6720000]","","A_S6720000","","000")</f>
        <v>A_S6720000</v>
      </c>
      <c r="L515" s="293" t="str">
        <f>_xll.EPMMemberDesc(K515)</f>
        <v>Settled Lease Expense</v>
      </c>
      <c r="M515" s="293">
        <v>0</v>
      </c>
      <c r="N515" s="293">
        <v>0</v>
      </c>
      <c r="O515" s="293">
        <v>0</v>
      </c>
      <c r="P515" s="293">
        <v>72500</v>
      </c>
      <c r="Q515" s="293">
        <v>76015</v>
      </c>
      <c r="R515" s="293">
        <v>76015</v>
      </c>
      <c r="S515" s="293">
        <v>76015</v>
      </c>
      <c r="T515" s="293">
        <v>76015</v>
      </c>
      <c r="U515" s="293">
        <v>76015</v>
      </c>
      <c r="V515" s="293">
        <v>77040</v>
      </c>
      <c r="W515" s="293">
        <v>77040</v>
      </c>
      <c r="X515" s="293">
        <v>77040</v>
      </c>
      <c r="Y515" s="293">
        <v>77040</v>
      </c>
      <c r="Z515" s="293">
        <v>77040</v>
      </c>
      <c r="AA515" s="293">
        <v>77040</v>
      </c>
      <c r="AB515" s="293">
        <v>914815</v>
      </c>
    </row>
    <row r="516" spans="10:28" ht="15" customHeight="1" x14ac:dyDescent="0.25">
      <c r="J516" s="291" t="str">
        <f xml:space="preserve"> _xll.EPMOlapMemberO("[COSTCENTER].[PARENTH1].[1001]","","1001","","000")</f>
        <v>1001</v>
      </c>
      <c r="K516" s="299" t="str">
        <f xml:space="preserve"> _xll.EPMOlapMemberO("[C_ACCOUNT].[PARENTH1].[A_6720060]","","A_6720060","","000")</f>
        <v>A_6720060</v>
      </c>
      <c r="L516" s="293" t="str">
        <f>_xll.EPMMemberDesc(K516)</f>
        <v>Long-term Lease - Variable Lease Expense</v>
      </c>
      <c r="M516" s="293">
        <v>0</v>
      </c>
      <c r="N516" s="293">
        <v>0</v>
      </c>
      <c r="O516" s="293">
        <v>0</v>
      </c>
      <c r="P516" s="293">
        <v>10536</v>
      </c>
      <c r="Q516" s="293">
        <v>10536</v>
      </c>
      <c r="R516" s="293">
        <v>10536</v>
      </c>
      <c r="S516" s="293">
        <v>10536</v>
      </c>
      <c r="T516" s="293">
        <v>10536</v>
      </c>
      <c r="U516" s="293">
        <v>10536</v>
      </c>
      <c r="V516" s="293">
        <v>10536</v>
      </c>
      <c r="W516" s="293">
        <v>10536</v>
      </c>
      <c r="X516" s="293">
        <v>10536</v>
      </c>
      <c r="Y516" s="293">
        <v>10536</v>
      </c>
      <c r="Z516" s="293">
        <v>10536</v>
      </c>
      <c r="AA516" s="293">
        <v>10536</v>
      </c>
      <c r="AB516" s="293">
        <v>126432</v>
      </c>
    </row>
    <row r="517" spans="10:28" ht="15" customHeight="1" x14ac:dyDescent="0.2">
      <c r="J517" s="286" t="str">
        <f xml:space="preserve"> _xll.EPMOlapMemberO("[COSTCENTER].[PARENTH1].[1001]","","1001","","000")</f>
        <v>1001</v>
      </c>
      <c r="K517" s="298" t="str">
        <f xml:space="preserve"> _xll.EPMOlapMemberO("[C_ACCOUNT].[PARENTH1].[OUTSIDE_SERVICES]","","OUTSIDE_SERVICES","","000")</f>
        <v>OUTSIDE_SERVICES</v>
      </c>
      <c r="L517" s="286" t="str">
        <f>_xll.EPMMemberDesc(K517)</f>
        <v>Outside Services</v>
      </c>
      <c r="M517" s="287">
        <v>0</v>
      </c>
      <c r="N517" s="287">
        <v>0</v>
      </c>
      <c r="O517" s="287">
        <v>0</v>
      </c>
      <c r="P517" s="287">
        <v>8618098.6336489003</v>
      </c>
      <c r="Q517" s="287">
        <v>8670138.0729820002</v>
      </c>
      <c r="R517" s="287">
        <v>9407717.9195348006</v>
      </c>
      <c r="S517" s="287">
        <v>9647954.5200005993</v>
      </c>
      <c r="T517" s="287">
        <v>8589024.3883910999</v>
      </c>
      <c r="U517" s="287">
        <v>8669844.0436873008</v>
      </c>
      <c r="V517" s="287">
        <v>8954120.3205047995</v>
      </c>
      <c r="W517" s="287">
        <v>8138305.4878476001</v>
      </c>
      <c r="X517" s="287">
        <v>9016713.3600300997</v>
      </c>
      <c r="Y517" s="287">
        <v>8775109.8628052007</v>
      </c>
      <c r="Z517" s="287">
        <v>8685206.9107983001</v>
      </c>
      <c r="AA517" s="287">
        <v>9358779.7171906997</v>
      </c>
      <c r="AB517" s="287">
        <v>106531013.23742139</v>
      </c>
    </row>
    <row r="518" spans="10:28" ht="15" customHeight="1" x14ac:dyDescent="0.25">
      <c r="J518" s="291" t="str">
        <f xml:space="preserve"> _xll.EPMOlapMemberO("[COSTCENTER].[PARENTH1].[1001]","","1001","","000")</f>
        <v>1001</v>
      </c>
      <c r="K518" s="299" t="str">
        <f xml:space="preserve"> _xll.EPMOlapMemberO("[C_ACCOUNT].[PARENTH1].[A_6100010]","","A_6100010","","000")</f>
        <v>A_6100010</v>
      </c>
      <c r="L518" s="293" t="str">
        <f>_xll.EPMMemberDesc(K518)</f>
        <v>Advertising</v>
      </c>
      <c r="M518" s="293">
        <v>0</v>
      </c>
      <c r="N518" s="293">
        <v>0</v>
      </c>
      <c r="O518" s="293">
        <v>0</v>
      </c>
      <c r="P518" s="293">
        <v>136489</v>
      </c>
      <c r="Q518" s="293">
        <v>93489</v>
      </c>
      <c r="R518" s="293">
        <v>102259</v>
      </c>
      <c r="S518" s="293">
        <v>673072</v>
      </c>
      <c r="T518" s="293">
        <v>136505</v>
      </c>
      <c r="U518" s="293">
        <v>102257</v>
      </c>
      <c r="V518" s="293">
        <v>593503</v>
      </c>
      <c r="W518" s="293">
        <v>93509</v>
      </c>
      <c r="X518" s="293">
        <v>602255</v>
      </c>
      <c r="Y518" s="293">
        <v>636513</v>
      </c>
      <c r="Z518" s="293">
        <v>93513</v>
      </c>
      <c r="AA518" s="293">
        <v>159259</v>
      </c>
      <c r="AB518" s="293">
        <v>3422623</v>
      </c>
    </row>
    <row r="519" spans="10:28" ht="15" customHeight="1" x14ac:dyDescent="0.25">
      <c r="J519" s="291" t="str">
        <f xml:space="preserve"> _xll.EPMOlapMemberO("[COSTCENTER].[PARENTH1].[1001]","","1001","","000")</f>
        <v>1001</v>
      </c>
      <c r="K519" s="299" t="str">
        <f xml:space="preserve"> _xll.EPMOlapMemberO("[C_ACCOUNT].[PARENTH1].[A_6100030]","","A_6100030","","000")</f>
        <v>A_6100030</v>
      </c>
      <c r="L519" s="293" t="str">
        <f>_xll.EPMMemberDesc(K519)</f>
        <v>Consultants - Audit</v>
      </c>
      <c r="M519" s="293">
        <v>0</v>
      </c>
      <c r="N519" s="293">
        <v>0</v>
      </c>
      <c r="O519" s="293">
        <v>0</v>
      </c>
      <c r="P519" s="293">
        <v>225</v>
      </c>
      <c r="Q519" s="293">
        <v>30885</v>
      </c>
      <c r="R519" s="293">
        <v>92607.918518499995</v>
      </c>
      <c r="S519" s="293">
        <v>35769.5</v>
      </c>
      <c r="T519" s="293">
        <v>249</v>
      </c>
      <c r="U519" s="293">
        <v>118410.4185185</v>
      </c>
      <c r="V519" s="293">
        <v>246</v>
      </c>
      <c r="W519" s="293">
        <v>57935</v>
      </c>
      <c r="X519" s="293">
        <v>118407.4185185</v>
      </c>
      <c r="Y519" s="293">
        <v>15591</v>
      </c>
      <c r="Z519" s="293">
        <v>30921</v>
      </c>
      <c r="AA519" s="293">
        <v>91965.418518499995</v>
      </c>
      <c r="AB519" s="293">
        <v>593212.67407399998</v>
      </c>
    </row>
    <row r="520" spans="10:28" ht="15" customHeight="1" x14ac:dyDescent="0.25">
      <c r="J520" s="291" t="str">
        <f xml:space="preserve"> _xll.EPMOlapMemberO("[COSTCENTER].[PARENTH1].[1001]","","1001","","000")</f>
        <v>1001</v>
      </c>
      <c r="K520" s="299" t="str">
        <f xml:space="preserve"> _xll.EPMOlapMemberO("[C_ACCOUNT].[PARENTH1].[A_6100040]","","A_6100040","","000")</f>
        <v>A_6100040</v>
      </c>
      <c r="L520" s="293" t="str">
        <f>_xll.EPMMemberDesc(K520)</f>
        <v>Consultants - Engineering</v>
      </c>
      <c r="M520" s="293">
        <v>0</v>
      </c>
      <c r="N520" s="293">
        <v>0</v>
      </c>
      <c r="O520" s="293">
        <v>0</v>
      </c>
      <c r="P520" s="293">
        <v>23113.87</v>
      </c>
      <c r="Q520" s="293">
        <v>23113.87</v>
      </c>
      <c r="R520" s="293">
        <v>54263.87</v>
      </c>
      <c r="S520" s="293">
        <v>24263.87</v>
      </c>
      <c r="T520" s="293">
        <v>24033.87</v>
      </c>
      <c r="U520" s="293">
        <v>24148.87</v>
      </c>
      <c r="V520" s="293">
        <v>23918.87</v>
      </c>
      <c r="W520" s="293">
        <v>24263.87</v>
      </c>
      <c r="X520" s="293">
        <v>24033.87</v>
      </c>
      <c r="Y520" s="293">
        <v>24493.87</v>
      </c>
      <c r="Z520" s="293">
        <v>19383.87</v>
      </c>
      <c r="AA520" s="293">
        <v>19613.87</v>
      </c>
      <c r="AB520" s="293">
        <v>308646.44</v>
      </c>
    </row>
    <row r="521" spans="10:28" ht="15" customHeight="1" x14ac:dyDescent="0.25">
      <c r="J521" s="291" t="str">
        <f xml:space="preserve"> _xll.EPMOlapMemberO("[COSTCENTER].[PARENTH1].[1001]","","1001","","000")</f>
        <v>1001</v>
      </c>
      <c r="K521" s="299" t="str">
        <f xml:space="preserve"> _xll.EPMOlapMemberO("[C_ACCOUNT].[PARENTH1].[A_6100050]","","A_6100050","","000")</f>
        <v>A_6100050</v>
      </c>
      <c r="L521" s="293" t="str">
        <f>_xll.EPMMemberDesc(K521)</f>
        <v>Consultants - Environmental</v>
      </c>
      <c r="M521" s="293">
        <v>0</v>
      </c>
      <c r="N521" s="293">
        <v>0</v>
      </c>
      <c r="O521" s="293">
        <v>0</v>
      </c>
      <c r="P521" s="293">
        <v>18125</v>
      </c>
      <c r="Q521" s="293">
        <v>18125</v>
      </c>
      <c r="R521" s="293">
        <v>19581.599999999999</v>
      </c>
      <c r="S521" s="293">
        <v>19275</v>
      </c>
      <c r="T521" s="293">
        <v>19045</v>
      </c>
      <c r="U521" s="293">
        <v>23966.6</v>
      </c>
      <c r="V521" s="293">
        <v>18930</v>
      </c>
      <c r="W521" s="293">
        <v>19275</v>
      </c>
      <c r="X521" s="293">
        <v>19351.599999999999</v>
      </c>
      <c r="Y521" s="293">
        <v>19505</v>
      </c>
      <c r="Z521" s="293">
        <v>19505</v>
      </c>
      <c r="AA521" s="293">
        <v>20240.89</v>
      </c>
      <c r="AB521" s="293">
        <v>234925.69</v>
      </c>
    </row>
    <row r="522" spans="10:28" ht="15" customHeight="1" x14ac:dyDescent="0.25">
      <c r="J522" s="291" t="str">
        <f xml:space="preserve"> _xll.EPMOlapMemberO("[COSTCENTER].[PARENTH1].[1001]","","1001","","000")</f>
        <v>1001</v>
      </c>
      <c r="K522" s="299" t="str">
        <f xml:space="preserve"> _xll.EPMOlapMemberO("[C_ACCOUNT].[PARENTH1].[A_6100060]","","A_6100060","","000")</f>
        <v>A_6100060</v>
      </c>
      <c r="L522" s="293" t="str">
        <f>_xll.EPMMemberDesc(K522)</f>
        <v>Consultants - Legal</v>
      </c>
      <c r="M522" s="293">
        <v>0</v>
      </c>
      <c r="N522" s="293">
        <v>0</v>
      </c>
      <c r="O522" s="293">
        <v>0</v>
      </c>
      <c r="P522" s="293">
        <v>69842.077260000005</v>
      </c>
      <c r="Q522" s="293">
        <v>233426.07725999999</v>
      </c>
      <c r="R522" s="293">
        <v>339139.07725999999</v>
      </c>
      <c r="S522" s="293">
        <v>236492.07725999999</v>
      </c>
      <c r="T522" s="293">
        <v>233426.07725999999</v>
      </c>
      <c r="U522" s="293">
        <v>342323.07725999999</v>
      </c>
      <c r="V522" s="293">
        <v>233426.07725999999</v>
      </c>
      <c r="W522" s="293">
        <v>233426.07725999999</v>
      </c>
      <c r="X522" s="293">
        <v>334973.07725999999</v>
      </c>
      <c r="Y522" s="293">
        <v>236492.07725999999</v>
      </c>
      <c r="Z522" s="293">
        <v>236471.63725999999</v>
      </c>
      <c r="AA522" s="293">
        <v>484974.63725999999</v>
      </c>
      <c r="AB522" s="293">
        <v>3214412.0471199998</v>
      </c>
    </row>
    <row r="523" spans="10:28" ht="15" customHeight="1" x14ac:dyDescent="0.25">
      <c r="J523" s="291" t="str">
        <f xml:space="preserve"> _xll.EPMOlapMemberO("[COSTCENTER].[PARENTH1].[1001]","","1001","","000")</f>
        <v>1001</v>
      </c>
      <c r="K523" s="299" t="str">
        <f xml:space="preserve"> _xll.EPMOlapMemberO("[C_ACCOUNT].[PARENTH1].[A_6100070]","","A_6100070","","000")</f>
        <v>A_6100070</v>
      </c>
      <c r="L523" s="293" t="str">
        <f>_xll.EPMMemberDesc(K523)</f>
        <v>Consultants - Management</v>
      </c>
      <c r="M523" s="293">
        <v>0</v>
      </c>
      <c r="N523" s="293">
        <v>0</v>
      </c>
      <c r="O523" s="293">
        <v>0</v>
      </c>
      <c r="P523" s="293">
        <v>157948.74566670001</v>
      </c>
      <c r="Q523" s="293">
        <v>91166.666666699995</v>
      </c>
      <c r="R523" s="293">
        <v>91166.666666699995</v>
      </c>
      <c r="S523" s="293">
        <v>101166.6666667</v>
      </c>
      <c r="T523" s="293">
        <v>111166.6666667</v>
      </c>
      <c r="U523" s="293">
        <v>111166.6666667</v>
      </c>
      <c r="V523" s="293">
        <v>177948.74566670001</v>
      </c>
      <c r="W523" s="293">
        <v>111166.6666667</v>
      </c>
      <c r="X523" s="293">
        <v>101166.6666667</v>
      </c>
      <c r="Y523" s="293">
        <v>91166.666666699995</v>
      </c>
      <c r="Z523" s="293">
        <v>91166.666666699995</v>
      </c>
      <c r="AA523" s="293">
        <v>91166.666666699995</v>
      </c>
      <c r="AB523" s="293">
        <v>1327564.1580004001</v>
      </c>
    </row>
    <row r="524" spans="10:28" ht="15" customHeight="1" x14ac:dyDescent="0.25">
      <c r="J524" s="291" t="str">
        <f xml:space="preserve"> _xll.EPMOlapMemberO("[COSTCENTER].[PARENTH1].[1001]","","1001","","000")</f>
        <v>1001</v>
      </c>
      <c r="K524" s="299" t="str">
        <f xml:space="preserve"> _xll.EPMOlapMemberO("[C_ACCOUNT].[PARENTH1].[A_6100080]","","A_6100080","","000")</f>
        <v>A_6100080</v>
      </c>
      <c r="L524" s="293" t="str">
        <f>_xll.EPMMemberDesc(K524)</f>
        <v>Consultants - Other</v>
      </c>
      <c r="M524" s="293">
        <v>0</v>
      </c>
      <c r="N524" s="293">
        <v>0</v>
      </c>
      <c r="O524" s="293">
        <v>0</v>
      </c>
      <c r="P524" s="293">
        <v>433817.20658499998</v>
      </c>
      <c r="Q524" s="293">
        <v>213422.20658500001</v>
      </c>
      <c r="R524" s="293">
        <v>238823.06658499999</v>
      </c>
      <c r="S524" s="293">
        <v>328726.73658500001</v>
      </c>
      <c r="T524" s="293">
        <v>205459.73658500001</v>
      </c>
      <c r="U524" s="293">
        <v>407494.7332517</v>
      </c>
      <c r="V524" s="293">
        <v>627924.73658499995</v>
      </c>
      <c r="W524" s="293">
        <v>205529.73658500001</v>
      </c>
      <c r="X524" s="293">
        <v>220589.73658500001</v>
      </c>
      <c r="Y524" s="293">
        <v>265505.73658500001</v>
      </c>
      <c r="Z524" s="293">
        <v>213363.73658500001</v>
      </c>
      <c r="AA524" s="293">
        <v>377015.6632517</v>
      </c>
      <c r="AB524" s="293">
        <v>3737673.0323533998</v>
      </c>
    </row>
    <row r="525" spans="10:28" ht="15" customHeight="1" x14ac:dyDescent="0.25">
      <c r="J525" s="291" t="str">
        <f xml:space="preserve"> _xll.EPMOlapMemberO("[COSTCENTER].[PARENTH1].[1001]","","1001","","000")</f>
        <v>1001</v>
      </c>
      <c r="K525" s="299" t="str">
        <f xml:space="preserve"> _xll.EPMOlapMemberO("[C_ACCOUNT].[PARENTH1].[A_6100090]","","A_6100090","","000")</f>
        <v>A_6100090</v>
      </c>
      <c r="L525" s="293" t="str">
        <f>_xll.EPMMemberDesc(K525)</f>
        <v>Consultants - Taxes</v>
      </c>
      <c r="M525" s="293">
        <v>0</v>
      </c>
      <c r="N525" s="293">
        <v>0</v>
      </c>
      <c r="O525" s="293">
        <v>0</v>
      </c>
      <c r="P525" s="293">
        <v>0</v>
      </c>
      <c r="Q525" s="293">
        <v>0</v>
      </c>
      <c r="R525" s="293">
        <v>35000</v>
      </c>
      <c r="S525" s="293">
        <v>80000</v>
      </c>
      <c r="T525" s="293">
        <v>60000</v>
      </c>
      <c r="U525" s="293">
        <v>20000</v>
      </c>
      <c r="V525" s="293">
        <v>50000</v>
      </c>
      <c r="W525" s="293">
        <v>0</v>
      </c>
      <c r="X525" s="293">
        <v>70000</v>
      </c>
      <c r="Y525" s="293">
        <v>0</v>
      </c>
      <c r="Z525" s="293">
        <v>20000</v>
      </c>
      <c r="AA525" s="293">
        <v>0</v>
      </c>
      <c r="AB525" s="293">
        <v>335000</v>
      </c>
    </row>
    <row r="526" spans="10:28" ht="15" customHeight="1" x14ac:dyDescent="0.25">
      <c r="J526" s="291" t="str">
        <f xml:space="preserve"> _xll.EPMOlapMemberO("[COSTCENTER].[PARENTH1].[1001]","","1001","","000")</f>
        <v>1001</v>
      </c>
      <c r="K526" s="299" t="str">
        <f xml:space="preserve"> _xll.EPMOlapMemberO("[C_ACCOUNT].[PARENTH1].[A_6100100]","","A_6100100","","000")</f>
        <v>A_6100100</v>
      </c>
      <c r="L526" s="293" t="str">
        <f>_xll.EPMMemberDesc(K526)</f>
        <v>Subcontracted Services</v>
      </c>
      <c r="M526" s="293">
        <v>0</v>
      </c>
      <c r="N526" s="293">
        <v>0</v>
      </c>
      <c r="O526" s="293">
        <v>0</v>
      </c>
      <c r="P526" s="293">
        <v>3515394.4914738</v>
      </c>
      <c r="Q526" s="293">
        <v>3901383.6792990002</v>
      </c>
      <c r="R526" s="293">
        <v>4382676.8633722002</v>
      </c>
      <c r="S526" s="293">
        <v>3896459.3686863999</v>
      </c>
      <c r="T526" s="293">
        <v>3328507.2660641</v>
      </c>
      <c r="U526" s="293">
        <v>3227502.4307630998</v>
      </c>
      <c r="V526" s="293">
        <v>3068609.5452512</v>
      </c>
      <c r="W526" s="293">
        <v>3084162.3699423</v>
      </c>
      <c r="X526" s="293">
        <v>3131517.5926187998</v>
      </c>
      <c r="Y526" s="293">
        <v>3425173.1364449998</v>
      </c>
      <c r="Z526" s="293">
        <v>3685365.0816659001</v>
      </c>
      <c r="AA526" s="293">
        <v>3638739.4138545999</v>
      </c>
      <c r="AB526" s="293">
        <v>42285491.239436403</v>
      </c>
    </row>
    <row r="527" spans="10:28" ht="15" customHeight="1" x14ac:dyDescent="0.25">
      <c r="J527" s="291" t="str">
        <f xml:space="preserve"> _xll.EPMOlapMemberO("[COSTCENTER].[PARENTH1].[1001]","","1001","","000")</f>
        <v>1001</v>
      </c>
      <c r="K527" s="299" t="str">
        <f xml:space="preserve"> _xll.EPMOlapMemberO("[C_ACCOUNT].[PARENTH1].[A_6100110]","","A_6100110","","000")</f>
        <v>A_6100110</v>
      </c>
      <c r="L527" s="293" t="str">
        <f>_xll.EPMMemberDesc(K527)</f>
        <v>Instrument Service/Repair</v>
      </c>
      <c r="M527" s="293">
        <v>0</v>
      </c>
      <c r="N527" s="293">
        <v>0</v>
      </c>
      <c r="O527" s="293">
        <v>0</v>
      </c>
      <c r="P527" s="293">
        <v>652.75</v>
      </c>
      <c r="Q527" s="293">
        <v>652.75</v>
      </c>
      <c r="R527" s="293">
        <v>722.75</v>
      </c>
      <c r="S527" s="293">
        <v>722.75</v>
      </c>
      <c r="T527" s="293">
        <v>708.75</v>
      </c>
      <c r="U527" s="293">
        <v>715.75</v>
      </c>
      <c r="V527" s="293">
        <v>701.75</v>
      </c>
      <c r="W527" s="293">
        <v>722.75</v>
      </c>
      <c r="X527" s="293">
        <v>708.75</v>
      </c>
      <c r="Y527" s="293">
        <v>736.75</v>
      </c>
      <c r="Z527" s="293">
        <v>736.75</v>
      </c>
      <c r="AA527" s="293">
        <v>750.75</v>
      </c>
      <c r="AB527" s="293">
        <v>8533</v>
      </c>
    </row>
    <row r="528" spans="10:28" ht="15" customHeight="1" x14ac:dyDescent="0.25">
      <c r="J528" s="291" t="str">
        <f xml:space="preserve"> _xll.EPMOlapMemberO("[COSTCENTER].[PARENTH1].[1001]","","1001","","000")</f>
        <v>1001</v>
      </c>
      <c r="K528" s="299" t="str">
        <f xml:space="preserve"> _xll.EPMOlapMemberO("[C_ACCOUNT].[PARENTH1].[A_6100120]","","A_6100120","","000")</f>
        <v>A_6100120</v>
      </c>
      <c r="L528" s="293" t="str">
        <f>_xll.EPMMemberDesc(K528)</f>
        <v>Tools Service/Repair</v>
      </c>
      <c r="M528" s="293">
        <v>0</v>
      </c>
      <c r="N528" s="293">
        <v>0</v>
      </c>
      <c r="O528" s="293">
        <v>0</v>
      </c>
      <c r="P528" s="293">
        <v>3092.3982599999999</v>
      </c>
      <c r="Q528" s="293">
        <v>3092.3982599999999</v>
      </c>
      <c r="R528" s="293">
        <v>3092.3982599999999</v>
      </c>
      <c r="S528" s="293">
        <v>3092.3982599999999</v>
      </c>
      <c r="T528" s="293">
        <v>3092.3982599999999</v>
      </c>
      <c r="U528" s="293">
        <v>3092.3982599999999</v>
      </c>
      <c r="V528" s="293">
        <v>3092.3982599999999</v>
      </c>
      <c r="W528" s="293">
        <v>3092.3982599999999</v>
      </c>
      <c r="X528" s="293">
        <v>3092.3982599999999</v>
      </c>
      <c r="Y528" s="293">
        <v>3092.3982599999999</v>
      </c>
      <c r="Z528" s="293">
        <v>3092.3982599999999</v>
      </c>
      <c r="AA528" s="293">
        <v>3092.3982599999999</v>
      </c>
      <c r="AB528" s="293">
        <v>37108.779119999999</v>
      </c>
    </row>
    <row r="529" spans="10:28" ht="15" customHeight="1" x14ac:dyDescent="0.25">
      <c r="J529" s="291" t="str">
        <f xml:space="preserve"> _xll.EPMOlapMemberO("[COSTCENTER].[PARENTH1].[1001]","","1001","","000")</f>
        <v>1001</v>
      </c>
      <c r="K529" s="299" t="str">
        <f xml:space="preserve"> _xll.EPMOlapMemberO("[C_ACCOUNT].[PARENTH1].[A_6100150]","","A_6100150","","000")</f>
        <v>A_6100150</v>
      </c>
      <c r="L529" s="293" t="str">
        <f>_xll.EPMMemberDesc(K529)</f>
        <v>Printing</v>
      </c>
      <c r="M529" s="293">
        <v>0</v>
      </c>
      <c r="N529" s="293">
        <v>0</v>
      </c>
      <c r="O529" s="293">
        <v>0</v>
      </c>
      <c r="P529" s="293">
        <v>-13012.061666699999</v>
      </c>
      <c r="Q529" s="293">
        <v>-13416.6616667</v>
      </c>
      <c r="R529" s="293">
        <v>-12371.311666699999</v>
      </c>
      <c r="S529" s="293">
        <v>-13569.291666700001</v>
      </c>
      <c r="T529" s="293">
        <v>-14408.131666699999</v>
      </c>
      <c r="U529" s="293">
        <v>-12285.1616667</v>
      </c>
      <c r="V529" s="293">
        <v>-12563.8516667</v>
      </c>
      <c r="W529" s="293">
        <v>-13382.8416667</v>
      </c>
      <c r="X529" s="293">
        <v>-11948.721666699999</v>
      </c>
      <c r="Y529" s="293">
        <v>-12440.381666699999</v>
      </c>
      <c r="Z529" s="293">
        <v>-12945.5816667</v>
      </c>
      <c r="AA529" s="293">
        <v>-17636.641666700001</v>
      </c>
      <c r="AB529" s="293">
        <v>-159980.64000039999</v>
      </c>
    </row>
    <row r="530" spans="10:28" ht="15" customHeight="1" x14ac:dyDescent="0.25">
      <c r="J530" s="291" t="str">
        <f xml:space="preserve"> _xll.EPMOlapMemberO("[COSTCENTER].[PARENTH1].[1001]","","1001","","000")</f>
        <v>1001</v>
      </c>
      <c r="K530" s="299" t="str">
        <f xml:space="preserve"> _xll.EPMOlapMemberO("[C_ACCOUNT].[PARENTH1].[A_6100160]","","A_6100160","","000")</f>
        <v>A_6100160</v>
      </c>
      <c r="L530" s="293" t="str">
        <f>_xll.EPMMemberDesc(K530)</f>
        <v>Security Services</v>
      </c>
      <c r="M530" s="293">
        <v>0</v>
      </c>
      <c r="N530" s="293">
        <v>0</v>
      </c>
      <c r="O530" s="293">
        <v>0</v>
      </c>
      <c r="P530" s="293">
        <v>289555.45666670002</v>
      </c>
      <c r="Q530" s="293">
        <v>289555.45666670002</v>
      </c>
      <c r="R530" s="293">
        <v>290055.45666670002</v>
      </c>
      <c r="S530" s="293">
        <v>290055.45666670002</v>
      </c>
      <c r="T530" s="293">
        <v>289955.45666670002</v>
      </c>
      <c r="U530" s="293">
        <v>290005.45666670002</v>
      </c>
      <c r="V530" s="293">
        <v>289905.45666670002</v>
      </c>
      <c r="W530" s="293">
        <v>290055.45666670002</v>
      </c>
      <c r="X530" s="293">
        <v>289955.45666670002</v>
      </c>
      <c r="Y530" s="293">
        <v>290155.45666670002</v>
      </c>
      <c r="Z530" s="293">
        <v>290155.45666670002</v>
      </c>
      <c r="AA530" s="293">
        <v>290255.45666670002</v>
      </c>
      <c r="AB530" s="293">
        <v>3479665.4800004</v>
      </c>
    </row>
    <row r="531" spans="10:28" ht="15" customHeight="1" x14ac:dyDescent="0.25">
      <c r="J531" s="291" t="str">
        <f xml:space="preserve"> _xll.EPMOlapMemberO("[COSTCENTER].[PARENTH1].[1001]","","1001","","000")</f>
        <v>1001</v>
      </c>
      <c r="K531" s="299" t="str">
        <f xml:space="preserve"> _xll.EPMOlapMemberO("[C_ACCOUNT].[PARENTH1].[A_6100170]","","A_6100170","","000")</f>
        <v>A_6100170</v>
      </c>
      <c r="L531" s="293" t="str">
        <f>_xll.EPMMemberDesc(K531)</f>
        <v>Service/Maintenance-Computers &amp; Communication</v>
      </c>
      <c r="M531" s="293">
        <v>0</v>
      </c>
      <c r="N531" s="293">
        <v>0</v>
      </c>
      <c r="O531" s="293">
        <v>0</v>
      </c>
      <c r="P531" s="293">
        <v>95172.273480100004</v>
      </c>
      <c r="Q531" s="293">
        <v>112875.256805</v>
      </c>
      <c r="R531" s="293">
        <v>96660.189950900007</v>
      </c>
      <c r="S531" s="293">
        <v>117888.03770630001</v>
      </c>
      <c r="T531" s="293">
        <v>98289.753705499999</v>
      </c>
      <c r="U531" s="293">
        <v>165410.97446150001</v>
      </c>
      <c r="V531" s="293">
        <v>101689.3041298</v>
      </c>
      <c r="W531" s="293">
        <v>82455.140506800002</v>
      </c>
      <c r="X531" s="293">
        <v>98855.666003100006</v>
      </c>
      <c r="Y531" s="293">
        <v>78518.945391899993</v>
      </c>
      <c r="Z531" s="293">
        <v>93551.157069599998</v>
      </c>
      <c r="AA531" s="293">
        <v>95505.950549700006</v>
      </c>
      <c r="AB531" s="293">
        <v>1236872.6497601999</v>
      </c>
    </row>
    <row r="532" spans="10:28" ht="15" customHeight="1" x14ac:dyDescent="0.25">
      <c r="J532" s="291" t="str">
        <f xml:space="preserve"> _xll.EPMOlapMemberO("[COSTCENTER].[PARENTH1].[1001]","","1001","","000")</f>
        <v>1001</v>
      </c>
      <c r="K532" s="299" t="str">
        <f xml:space="preserve"> _xll.EPMOlapMemberO("[C_ACCOUNT].[PARENTH1].[A_6100180]","","A_6100180","","000")</f>
        <v>A_6100180</v>
      </c>
      <c r="L532" s="293" t="str">
        <f>_xll.EPMMemberDesc(K532)</f>
        <v>Site Testing Services</v>
      </c>
      <c r="M532" s="293">
        <v>0</v>
      </c>
      <c r="N532" s="293">
        <v>0</v>
      </c>
      <c r="O532" s="293">
        <v>0</v>
      </c>
      <c r="P532" s="293">
        <v>6426.1</v>
      </c>
      <c r="Q532" s="293">
        <v>6426.1</v>
      </c>
      <c r="R532" s="293">
        <v>7276.1</v>
      </c>
      <c r="S532" s="293">
        <v>7276.1</v>
      </c>
      <c r="T532" s="293">
        <v>7106.1</v>
      </c>
      <c r="U532" s="293">
        <v>7191.1</v>
      </c>
      <c r="V532" s="293">
        <v>7021.1</v>
      </c>
      <c r="W532" s="293">
        <v>7276.1</v>
      </c>
      <c r="X532" s="293">
        <v>7106.1</v>
      </c>
      <c r="Y532" s="293">
        <v>7446.1</v>
      </c>
      <c r="Z532" s="293">
        <v>7395</v>
      </c>
      <c r="AA532" s="293">
        <v>7565</v>
      </c>
      <c r="AB532" s="293">
        <v>85511</v>
      </c>
    </row>
    <row r="533" spans="10:28" ht="15" customHeight="1" x14ac:dyDescent="0.25">
      <c r="J533" s="291" t="str">
        <f xml:space="preserve"> _xll.EPMOlapMemberO("[COSTCENTER].[PARENTH1].[1001]","","1001","","000")</f>
        <v>1001</v>
      </c>
      <c r="K533" s="299" t="str">
        <f xml:space="preserve"> _xll.EPMOlapMemberO("[C_ACCOUNT].[PARENTH1].[A_6100190]","","A_6100190","","000")</f>
        <v>A_6100190</v>
      </c>
      <c r="L533" s="293" t="str">
        <f>_xll.EPMMemberDesc(K533)</f>
        <v>Software Maintenance</v>
      </c>
      <c r="M533" s="293">
        <v>0</v>
      </c>
      <c r="N533" s="293">
        <v>0</v>
      </c>
      <c r="O533" s="293">
        <v>0</v>
      </c>
      <c r="P533" s="293">
        <v>1379853.9897332001</v>
      </c>
      <c r="Q533" s="293">
        <v>1235354.2443567</v>
      </c>
      <c r="R533" s="293">
        <v>1205625.4354906001</v>
      </c>
      <c r="S533" s="293">
        <v>1085144.5261466</v>
      </c>
      <c r="T533" s="293">
        <v>1107027.7277728999</v>
      </c>
      <c r="U533" s="293">
        <v>1240527.0234914001</v>
      </c>
      <c r="V533" s="293">
        <v>1101765.3140511001</v>
      </c>
      <c r="W533" s="293">
        <v>1091364.2255324</v>
      </c>
      <c r="X533" s="293">
        <v>1073265.4975972001</v>
      </c>
      <c r="Y533" s="293">
        <v>956208.74818790006</v>
      </c>
      <c r="Z533" s="293">
        <v>1005116.4671967</v>
      </c>
      <c r="AA533" s="293">
        <v>1281551.0039702</v>
      </c>
      <c r="AB533" s="293">
        <v>13762804.203526899</v>
      </c>
    </row>
    <row r="534" spans="10:28" ht="15" customHeight="1" x14ac:dyDescent="0.25">
      <c r="J534" s="291" t="str">
        <f xml:space="preserve"> _xll.EPMOlapMemberO("[COSTCENTER].[PARENTH1].[1001]","","1001","","000")</f>
        <v>1001</v>
      </c>
      <c r="K534" s="299" t="str">
        <f xml:space="preserve"> _xll.EPMOlapMemberO("[C_ACCOUNT].[PARENTH1].[A_6100200]","","A_6100200","","000")</f>
        <v>A_6100200</v>
      </c>
      <c r="L534" s="293" t="str">
        <f>_xll.EPMMemberDesc(K534)</f>
        <v>Trust Fee</v>
      </c>
      <c r="M534" s="293">
        <v>0</v>
      </c>
      <c r="N534" s="293">
        <v>0</v>
      </c>
      <c r="O534" s="293">
        <v>0</v>
      </c>
      <c r="P534" s="293">
        <v>3499</v>
      </c>
      <c r="Q534" s="293">
        <v>0</v>
      </c>
      <c r="R534" s="293">
        <v>0</v>
      </c>
      <c r="S534" s="293">
        <v>0</v>
      </c>
      <c r="T534" s="293">
        <v>7924</v>
      </c>
      <c r="U534" s="293">
        <v>17661</v>
      </c>
      <c r="V534" s="293">
        <v>4500</v>
      </c>
      <c r="W534" s="293">
        <v>0</v>
      </c>
      <c r="X534" s="293">
        <v>3780</v>
      </c>
      <c r="Y534" s="293">
        <v>11499</v>
      </c>
      <c r="Z534" s="293">
        <v>0</v>
      </c>
      <c r="AA534" s="293">
        <v>4500</v>
      </c>
      <c r="AB534" s="293">
        <v>53363</v>
      </c>
    </row>
    <row r="535" spans="10:28" ht="15" customHeight="1" x14ac:dyDescent="0.25">
      <c r="J535" s="291" t="str">
        <f xml:space="preserve"> _xll.EPMOlapMemberO("[COSTCENTER].[PARENTH1].[1001]","","1001","","000")</f>
        <v>1001</v>
      </c>
      <c r="K535" s="299" t="str">
        <f xml:space="preserve"> _xll.EPMOlapMemberO("[C_ACCOUNT].[PARENTH1].[A_6108999]","","A_6108999","","000")</f>
        <v>A_6108999</v>
      </c>
      <c r="L535" s="293" t="str">
        <f>_xll.EPMMemberDesc(K535)</f>
        <v>Outside Services Expense Reclass</v>
      </c>
      <c r="M535" s="293">
        <v>0</v>
      </c>
      <c r="N535" s="293">
        <v>0</v>
      </c>
      <c r="O535" s="293">
        <v>0</v>
      </c>
      <c r="P535" s="293">
        <v>-99345.091716499999</v>
      </c>
      <c r="Q535" s="293">
        <v>-92351.034528200005</v>
      </c>
      <c r="R535" s="293">
        <v>-139116.73603480001</v>
      </c>
      <c r="S535" s="293">
        <v>-172252.2037059</v>
      </c>
      <c r="T535" s="293">
        <v>-202696.6246098</v>
      </c>
      <c r="U535" s="293">
        <v>-192473.48430849999</v>
      </c>
      <c r="V535" s="293">
        <v>-173152.2037059</v>
      </c>
      <c r="W535" s="293">
        <v>26710.602320599999</v>
      </c>
      <c r="X535" s="293">
        <v>26085.602320599999</v>
      </c>
      <c r="Y535" s="293">
        <v>52310.602320600003</v>
      </c>
      <c r="Z535" s="293">
        <v>27310.602320599999</v>
      </c>
      <c r="AA535" s="293">
        <v>52118.402320599998</v>
      </c>
      <c r="AB535" s="293">
        <v>-886851.56700659997</v>
      </c>
    </row>
    <row r="536" spans="10:28" ht="15" customHeight="1" x14ac:dyDescent="0.25">
      <c r="J536" s="291" t="str">
        <f xml:space="preserve"> _xll.EPMOlapMemberO("[COSTCENTER].[PARENTH1].[1001]","","1001","","000")</f>
        <v>1001</v>
      </c>
      <c r="K536" s="299" t="str">
        <f xml:space="preserve"> _xll.EPMOlapMemberO("[C_ACCOUNT].[PARENTH1].[A_P6100000]","","A_P6100000","","000")</f>
        <v>A_P6100000</v>
      </c>
      <c r="L536" s="293" t="str">
        <f>_xll.EPMMemberDesc(K536)</f>
        <v>Planned Outside Services Expense</v>
      </c>
      <c r="M536" s="293">
        <v>0</v>
      </c>
      <c r="N536" s="293">
        <v>0</v>
      </c>
      <c r="O536" s="293">
        <v>0</v>
      </c>
      <c r="P536" s="293">
        <v>40951.97</v>
      </c>
      <c r="Q536" s="293">
        <v>38151.97</v>
      </c>
      <c r="R536" s="293">
        <v>37579.65</v>
      </c>
      <c r="S536" s="293">
        <v>38151.97</v>
      </c>
      <c r="T536" s="293">
        <v>37151.97</v>
      </c>
      <c r="U536" s="293">
        <v>37151.97</v>
      </c>
      <c r="V536" s="293">
        <v>32348.57</v>
      </c>
      <c r="W536" s="293">
        <v>38151.97</v>
      </c>
      <c r="X536" s="293">
        <v>37651.97</v>
      </c>
      <c r="Y536" s="293">
        <v>36129.88824</v>
      </c>
      <c r="Z536" s="293">
        <v>37151.949999999997</v>
      </c>
      <c r="AA536" s="293">
        <v>37151.949999999997</v>
      </c>
      <c r="AB536" s="293">
        <v>447725.79823999997</v>
      </c>
    </row>
    <row r="537" spans="10:28" ht="15" customHeight="1" x14ac:dyDescent="0.25">
      <c r="J537" s="291" t="str">
        <f xml:space="preserve"> _xll.EPMOlapMemberO("[COSTCENTER].[PARENTH1].[1001]","","1001","","000")</f>
        <v>1001</v>
      </c>
      <c r="K537" s="299" t="str">
        <f xml:space="preserve"> _xll.EPMOlapMemberO("[C_ACCOUNT].[PARENTH1].[A_S6100000]","","A_S6100000","","000")</f>
        <v>A_S6100000</v>
      </c>
      <c r="L537" s="293" t="str">
        <f>_xll.EPMMemberDesc(K537)</f>
        <v>Settled Outside Services Expense</v>
      </c>
      <c r="M537" s="293">
        <v>0</v>
      </c>
      <c r="N537" s="293">
        <v>0</v>
      </c>
      <c r="O537" s="293">
        <v>0</v>
      </c>
      <c r="P537" s="293">
        <v>668704.12457330001</v>
      </c>
      <c r="Q537" s="293">
        <v>630038.75994450005</v>
      </c>
      <c r="R537" s="293">
        <v>654683.59113239998</v>
      </c>
      <c r="S537" s="293">
        <v>878156.86406219995</v>
      </c>
      <c r="T537" s="293">
        <v>1096257.0383534001</v>
      </c>
      <c r="U537" s="293">
        <v>703058.88698960003</v>
      </c>
      <c r="V537" s="293">
        <v>688028.17467360001</v>
      </c>
      <c r="W537" s="293">
        <v>672780.63244049996</v>
      </c>
      <c r="X537" s="293">
        <v>740305.34586690005</v>
      </c>
      <c r="Y537" s="293">
        <v>411267.53511479998</v>
      </c>
      <c r="Z537" s="293">
        <v>599207.38544049999</v>
      </c>
      <c r="AA537" s="293">
        <v>486169.3042054</v>
      </c>
      <c r="AB537" s="293">
        <v>8228657.6427971004</v>
      </c>
    </row>
    <row r="538" spans="10:28" ht="15" customHeight="1" x14ac:dyDescent="0.25">
      <c r="J538" s="291" t="str">
        <f xml:space="preserve"> _xll.EPMOlapMemberO("[COSTCENTER].[PARENTH1].[1001]","","1001","","000")</f>
        <v>1001</v>
      </c>
      <c r="K538" s="299" t="str">
        <f xml:space="preserve"> _xll.EPMOlapMemberO("[C_ACCOUNT].[PARENTH1].[A_S6100060]","","A_S6100060","","000")</f>
        <v>A_S6100060</v>
      </c>
      <c r="L538" s="293" t="str">
        <f>_xll.EPMMemberDesc(K538)</f>
        <v>Settled Consultants - Legal</v>
      </c>
      <c r="M538" s="293">
        <v>0</v>
      </c>
      <c r="N538" s="293">
        <v>0</v>
      </c>
      <c r="O538" s="293">
        <v>0</v>
      </c>
      <c r="P538" s="293">
        <v>0</v>
      </c>
      <c r="Q538" s="293">
        <v>0</v>
      </c>
      <c r="R538" s="293">
        <v>0</v>
      </c>
      <c r="S538" s="293">
        <v>68.36</v>
      </c>
      <c r="T538" s="293">
        <v>0</v>
      </c>
      <c r="U538" s="293">
        <v>500</v>
      </c>
      <c r="V538" s="293">
        <v>0</v>
      </c>
      <c r="W538" s="293">
        <v>1000</v>
      </c>
      <c r="X538" s="293">
        <v>0</v>
      </c>
      <c r="Y538" s="293">
        <v>1000</v>
      </c>
      <c r="Z538" s="293">
        <v>0</v>
      </c>
      <c r="AA538" s="293">
        <v>599.25</v>
      </c>
      <c r="AB538" s="293">
        <v>3167.61</v>
      </c>
    </row>
    <row r="539" spans="10:28" ht="15" customHeight="1" x14ac:dyDescent="0.25">
      <c r="J539" s="291" t="str">
        <f xml:space="preserve"> _xll.EPMOlapMemberO("[COSTCENTER].[PARENTH1].[1001]","","1001","","000")</f>
        <v>1001</v>
      </c>
      <c r="K539" s="299" t="str">
        <f xml:space="preserve"> _xll.EPMOlapMemberO("[C_ACCOUNT].[PARENTH1].[A_S6100140]","","A_S6100140","","000")</f>
        <v>A_S6100140</v>
      </c>
      <c r="L539" s="293" t="str">
        <f>_xll.EPMMemberDesc(K539)</f>
        <v>Settled Line Clearance</v>
      </c>
      <c r="M539" s="293">
        <v>0</v>
      </c>
      <c r="N539" s="293">
        <v>0</v>
      </c>
      <c r="O539" s="293">
        <v>0</v>
      </c>
      <c r="P539" s="293">
        <v>1866252</v>
      </c>
      <c r="Q539" s="293">
        <v>1866251</v>
      </c>
      <c r="R539" s="293">
        <v>1866252</v>
      </c>
      <c r="S539" s="293">
        <v>2022747</v>
      </c>
      <c r="T539" s="293">
        <v>2022747</v>
      </c>
      <c r="U539" s="293">
        <v>2022746</v>
      </c>
      <c r="V539" s="293">
        <v>2109869</v>
      </c>
      <c r="W539" s="293">
        <v>2109869</v>
      </c>
      <c r="X539" s="293">
        <v>2109868</v>
      </c>
      <c r="Y539" s="293">
        <v>2242178</v>
      </c>
      <c r="Z539" s="293">
        <v>2242179</v>
      </c>
      <c r="AA539" s="293">
        <v>2242178</v>
      </c>
      <c r="AB539" s="293">
        <v>24723136</v>
      </c>
    </row>
    <row r="540" spans="10:28" ht="15" customHeight="1" x14ac:dyDescent="0.25">
      <c r="J540" s="291" t="str">
        <f xml:space="preserve"> _xll.EPMOlapMemberO("[COSTCENTER].[PARENTH1].[1001]","","1001","","000")</f>
        <v>1001</v>
      </c>
      <c r="K540" s="299" t="str">
        <f xml:space="preserve"> _xll.EPMOlapMemberO("[C_ACCOUNT].[PARENTH1].[A_S6100190]","","A_S6100190","","000")</f>
        <v>A_S6100190</v>
      </c>
      <c r="L540" s="293" t="str">
        <f>_xll.EPMMemberDesc(K540)</f>
        <v>Settled Software Maintenance</v>
      </c>
      <c r="M540" s="293">
        <v>0</v>
      </c>
      <c r="N540" s="293">
        <v>0</v>
      </c>
      <c r="O540" s="293">
        <v>0</v>
      </c>
      <c r="P540" s="293">
        <v>6682</v>
      </c>
      <c r="Q540" s="293">
        <v>-22162</v>
      </c>
      <c r="R540" s="293">
        <v>36082</v>
      </c>
      <c r="S540" s="293">
        <v>-10411</v>
      </c>
      <c r="T540" s="293">
        <v>11818</v>
      </c>
      <c r="U540" s="293">
        <v>3614</v>
      </c>
      <c r="V540" s="293">
        <v>750</v>
      </c>
      <c r="W540" s="293">
        <v>-6716</v>
      </c>
      <c r="X540" s="293">
        <v>10034</v>
      </c>
      <c r="Y540" s="293">
        <v>-23092</v>
      </c>
      <c r="Z540" s="293">
        <v>-23092</v>
      </c>
      <c r="AA540" s="293">
        <v>-13655</v>
      </c>
      <c r="AB540" s="293">
        <v>-30148</v>
      </c>
    </row>
    <row r="541" spans="10:28" ht="15" customHeight="1" x14ac:dyDescent="0.25">
      <c r="J541" s="291" t="str">
        <f xml:space="preserve"> _xll.EPMOlapMemberO("[COSTCENTER].[PARENTH1].[1001]","","1001","","000")</f>
        <v>1001</v>
      </c>
      <c r="K541" s="299" t="str">
        <f xml:space="preserve"> _xll.EPMOlapMemberO("[C_ACCOUNT].[PARENTH1].[A_S6100080]","","A_S6100080","","000")</f>
        <v>A_S6100080</v>
      </c>
      <c r="L541" s="293" t="str">
        <f>_xll.EPMMemberDesc(K541)</f>
        <v>Settled Consultants - Other</v>
      </c>
      <c r="M541" s="293">
        <v>0</v>
      </c>
      <c r="N541" s="293">
        <v>0</v>
      </c>
      <c r="O541" s="293">
        <v>0</v>
      </c>
      <c r="P541" s="293">
        <v>14658.333333299999</v>
      </c>
      <c r="Q541" s="293">
        <v>10658.333333299999</v>
      </c>
      <c r="R541" s="293">
        <v>10658.333333299999</v>
      </c>
      <c r="S541" s="293">
        <v>10658.333333299999</v>
      </c>
      <c r="T541" s="293">
        <v>10658.333333299999</v>
      </c>
      <c r="U541" s="293">
        <v>10658.333333299999</v>
      </c>
      <c r="V541" s="293">
        <v>10658.333333299999</v>
      </c>
      <c r="W541" s="293">
        <v>10658.333333299999</v>
      </c>
      <c r="X541" s="293">
        <v>10658.333333299999</v>
      </c>
      <c r="Y541" s="293">
        <v>10658.333333299999</v>
      </c>
      <c r="Z541" s="293">
        <v>10658.333333299999</v>
      </c>
      <c r="AA541" s="293">
        <v>10658.333333299999</v>
      </c>
      <c r="AB541" s="293">
        <v>131899.9999996</v>
      </c>
    </row>
    <row r="542" spans="10:28" ht="15" customHeight="1" x14ac:dyDescent="0.25">
      <c r="J542" s="291" t="str">
        <f xml:space="preserve"> _xll.EPMOlapMemberO("[COSTCENTER].[PARENTH1].[1001]","","1001","","000")</f>
        <v>1001</v>
      </c>
      <c r="K542" s="299" t="str">
        <f xml:space="preserve"> _xll.EPMOlapMemberO("[C_ACCOUNT].[PARENTH1].[A_S6100100]","","A_S6100100","","000")</f>
        <v>A_S6100100</v>
      </c>
      <c r="L542" s="293" t="str">
        <f>_xll.EPMMemberDesc(K542)</f>
        <v>Settled Contractor Services</v>
      </c>
      <c r="M542" s="293">
        <v>0</v>
      </c>
      <c r="N542" s="293">
        <v>0</v>
      </c>
      <c r="O542" s="293">
        <v>0</v>
      </c>
      <c r="P542" s="293">
        <v>0</v>
      </c>
      <c r="Q542" s="293">
        <v>0</v>
      </c>
      <c r="R542" s="293">
        <v>-5000</v>
      </c>
      <c r="S542" s="293">
        <v>-5000</v>
      </c>
      <c r="T542" s="293">
        <v>-5000</v>
      </c>
      <c r="U542" s="293">
        <v>-5000</v>
      </c>
      <c r="V542" s="293">
        <v>-5000</v>
      </c>
      <c r="W542" s="293">
        <v>-5000</v>
      </c>
      <c r="X542" s="293">
        <v>-5000</v>
      </c>
      <c r="Y542" s="293">
        <v>-5000</v>
      </c>
      <c r="Z542" s="293">
        <v>-5000</v>
      </c>
      <c r="AA542" s="293">
        <v>-5000</v>
      </c>
      <c r="AB542" s="293">
        <v>-50000</v>
      </c>
    </row>
    <row r="543" spans="10:28" ht="15" customHeight="1" x14ac:dyDescent="0.2">
      <c r="J543" s="286" t="str">
        <f xml:space="preserve"> _xll.EPMOlapMemberO("[COSTCENTER].[PARENTH1].[1001]","","1001","","000")</f>
        <v>1001</v>
      </c>
      <c r="K543" s="298" t="str">
        <f xml:space="preserve"> _xll.EPMOlapMemberO("[C_ACCOUNT].[PARENTH1].[TRANSPORTATION]","","TRANSPORTATION","","000")</f>
        <v>TRANSPORTATION</v>
      </c>
      <c r="L543" s="286" t="str">
        <f>_xll.EPMMemberDesc(K543)</f>
        <v>Transportation</v>
      </c>
      <c r="M543" s="287">
        <v>0</v>
      </c>
      <c r="N543" s="287">
        <v>0</v>
      </c>
      <c r="O543" s="287">
        <v>0</v>
      </c>
      <c r="P543" s="287">
        <v>327278.77314329997</v>
      </c>
      <c r="Q543" s="287">
        <v>329435.16206429998</v>
      </c>
      <c r="R543" s="287">
        <v>330190.402436</v>
      </c>
      <c r="S543" s="287">
        <v>330450.25250509998</v>
      </c>
      <c r="T543" s="287">
        <v>329095.76289329998</v>
      </c>
      <c r="U543" s="287">
        <v>329768.45864760003</v>
      </c>
      <c r="V543" s="287">
        <v>322328.5988564</v>
      </c>
      <c r="W543" s="287">
        <v>327973.78718679998</v>
      </c>
      <c r="X543" s="287">
        <v>321997.33446749998</v>
      </c>
      <c r="Y543" s="287">
        <v>327728.93152799999</v>
      </c>
      <c r="Z543" s="287">
        <v>325491.91914269998</v>
      </c>
      <c r="AA543" s="287">
        <v>329594.55813909997</v>
      </c>
      <c r="AB543" s="287">
        <v>3931333.9410100998</v>
      </c>
    </row>
    <row r="544" spans="10:28" ht="15" customHeight="1" x14ac:dyDescent="0.25">
      <c r="J544" s="291" t="str">
        <f xml:space="preserve"> _xll.EPMOlapMemberO("[COSTCENTER].[PARENTH1].[1001]","","1001","","000")</f>
        <v>1001</v>
      </c>
      <c r="K544" s="299" t="str">
        <f xml:space="preserve"> _xll.EPMOlapMemberO("[C_ACCOUNT].[PARENTH1].[A_6500010]","","A_6500010","","000")</f>
        <v>A_6500010</v>
      </c>
      <c r="L544" s="293" t="str">
        <f>_xll.EPMMemberDesc(K544)</f>
        <v>Transportation - Vehicle expense</v>
      </c>
      <c r="M544" s="293">
        <v>0</v>
      </c>
      <c r="N544" s="293">
        <v>0</v>
      </c>
      <c r="O544" s="293">
        <v>0</v>
      </c>
      <c r="P544" s="293">
        <v>17810.2</v>
      </c>
      <c r="Q544" s="293">
        <v>17685.2</v>
      </c>
      <c r="R544" s="293">
        <v>17765.2</v>
      </c>
      <c r="S544" s="293">
        <v>17810.2</v>
      </c>
      <c r="T544" s="293">
        <v>17840.2</v>
      </c>
      <c r="U544" s="293">
        <v>17635.2</v>
      </c>
      <c r="V544" s="293">
        <v>17760.2</v>
      </c>
      <c r="W544" s="293">
        <v>17815.2</v>
      </c>
      <c r="X544" s="293">
        <v>17685.2</v>
      </c>
      <c r="Y544" s="293">
        <v>17760.2</v>
      </c>
      <c r="Z544" s="293">
        <v>17740.2</v>
      </c>
      <c r="AA544" s="293">
        <v>18891.16</v>
      </c>
      <c r="AB544" s="293">
        <v>214198.36</v>
      </c>
    </row>
    <row r="545" spans="10:28" ht="15" customHeight="1" x14ac:dyDescent="0.25">
      <c r="J545" s="291" t="str">
        <f xml:space="preserve"> _xll.EPMOlapMemberO("[COSTCENTER].[PARENTH1].[1001]","","1001","","000")</f>
        <v>1001</v>
      </c>
      <c r="K545" s="299" t="str">
        <f xml:space="preserve"> _xll.EPMOlapMemberO("[C_ACCOUNT].[PARENTH1].[A_6500050]","","A_6500050","","000")</f>
        <v>A_6500050</v>
      </c>
      <c r="L545" s="293" t="str">
        <f>_xll.EPMMemberDesc(K545)</f>
        <v>Transportation - Personnel Transport</v>
      </c>
      <c r="M545" s="293">
        <v>0</v>
      </c>
      <c r="N545" s="293">
        <v>0</v>
      </c>
      <c r="O545" s="293">
        <v>0</v>
      </c>
      <c r="P545" s="293">
        <v>1533</v>
      </c>
      <c r="Q545" s="293">
        <v>1533</v>
      </c>
      <c r="R545" s="293">
        <v>1533</v>
      </c>
      <c r="S545" s="293">
        <v>1533</v>
      </c>
      <c r="T545" s="293">
        <v>1533</v>
      </c>
      <c r="U545" s="293">
        <v>1533</v>
      </c>
      <c r="V545" s="293">
        <v>1533</v>
      </c>
      <c r="W545" s="293">
        <v>1533</v>
      </c>
      <c r="X545" s="293">
        <v>1533</v>
      </c>
      <c r="Y545" s="293">
        <v>1533</v>
      </c>
      <c r="Z545" s="293">
        <v>1533</v>
      </c>
      <c r="AA545" s="293">
        <v>1533</v>
      </c>
      <c r="AB545" s="293">
        <v>18396</v>
      </c>
    </row>
    <row r="546" spans="10:28" ht="15" customHeight="1" x14ac:dyDescent="0.25">
      <c r="J546" s="291" t="str">
        <f xml:space="preserve"> _xll.EPMOlapMemberO("[COSTCENTER].[PARENTH1].[1001]","","1001","","000")</f>
        <v>1001</v>
      </c>
      <c r="K546" s="299" t="str">
        <f xml:space="preserve"> _xll.EPMOlapMemberO("[C_ACCOUNT].[PARENTH1].[A_6508999]","","A_6508999","","000")</f>
        <v>A_6508999</v>
      </c>
      <c r="L546" s="293" t="str">
        <f>_xll.EPMMemberDesc(K546)</f>
        <v>Transportation Expense Reclass</v>
      </c>
      <c r="M546" s="293">
        <v>0</v>
      </c>
      <c r="N546" s="293">
        <v>0</v>
      </c>
      <c r="O546" s="293">
        <v>0</v>
      </c>
      <c r="P546" s="293">
        <v>-6152.7730433999996</v>
      </c>
      <c r="Q546" s="293">
        <v>-3973.5841224000001</v>
      </c>
      <c r="R546" s="293">
        <v>-3196.1437507000001</v>
      </c>
      <c r="S546" s="293">
        <v>-3262.8936816</v>
      </c>
      <c r="T546" s="293">
        <v>-4774.5832934</v>
      </c>
      <c r="U546" s="293">
        <v>-3514.1875390999999</v>
      </c>
      <c r="V546" s="293">
        <v>-11104.0473303</v>
      </c>
      <c r="W546" s="293">
        <v>-5512.7589999000002</v>
      </c>
      <c r="X546" s="293">
        <v>-11410.311719200001</v>
      </c>
      <c r="Y546" s="293">
        <v>-5728.7146586999997</v>
      </c>
      <c r="Z546" s="293">
        <v>-7970.7270440000002</v>
      </c>
      <c r="AA546" s="293">
        <v>-5300.7298075999997</v>
      </c>
      <c r="AB546" s="293">
        <v>-71901.454990300001</v>
      </c>
    </row>
    <row r="547" spans="10:28" ht="15" customHeight="1" x14ac:dyDescent="0.25">
      <c r="J547" s="291" t="str">
        <f xml:space="preserve"> _xll.EPMOlapMemberO("[COSTCENTER].[PARENTH1].[1001]","","1001","","000")</f>
        <v>1001</v>
      </c>
      <c r="K547" s="299" t="str">
        <f xml:space="preserve"> _xll.EPMOlapMemberO("[C_ACCOUNT].[PARENTH1].[A_S6500000]","","A_S6500000","","000")</f>
        <v>A_S6500000</v>
      </c>
      <c r="L547" s="293" t="str">
        <f>_xll.EPMMemberDesc(K547)</f>
        <v>Settled Transportation Expense</v>
      </c>
      <c r="M547" s="293">
        <v>0</v>
      </c>
      <c r="N547" s="293">
        <v>0</v>
      </c>
      <c r="O547" s="293">
        <v>0</v>
      </c>
      <c r="P547" s="293">
        <v>314088.34618669999</v>
      </c>
      <c r="Q547" s="293">
        <v>314190.5461867</v>
      </c>
      <c r="R547" s="293">
        <v>314088.34618669999</v>
      </c>
      <c r="S547" s="293">
        <v>314369.94618670002</v>
      </c>
      <c r="T547" s="293">
        <v>314497.14618669997</v>
      </c>
      <c r="U547" s="293">
        <v>314114.44618670002</v>
      </c>
      <c r="V547" s="293">
        <v>314139.44618670002</v>
      </c>
      <c r="W547" s="293">
        <v>314138.34618669999</v>
      </c>
      <c r="X547" s="293">
        <v>314189.44618670002</v>
      </c>
      <c r="Y547" s="293">
        <v>314164.44618670002</v>
      </c>
      <c r="Z547" s="293">
        <v>314189.44618670002</v>
      </c>
      <c r="AA547" s="293">
        <v>314471.12794670003</v>
      </c>
      <c r="AB547" s="293">
        <v>3770641.0360003999</v>
      </c>
    </row>
    <row r="548" spans="10:28" ht="15" customHeight="1" x14ac:dyDescent="0.2">
      <c r="J548" s="286" t="str">
        <f xml:space="preserve"> _xll.EPMOlapMemberO("[COSTCENTER].[PARENTH1].[1001]","","1001","","000")</f>
        <v>1001</v>
      </c>
      <c r="K548" s="298" t="str">
        <f xml:space="preserve"> _xll.EPMOlapMemberO("[C_ACCOUNT].[PARENTH1].[UTILITIES]","","UTILITIES","","000")</f>
        <v>UTILITIES</v>
      </c>
      <c r="L548" s="286" t="str">
        <f>_xll.EPMMemberDesc(K548)</f>
        <v>Utilities</v>
      </c>
      <c r="M548" s="287">
        <v>0</v>
      </c>
      <c r="N548" s="287">
        <v>0</v>
      </c>
      <c r="O548" s="287">
        <v>0</v>
      </c>
      <c r="P548" s="287">
        <v>373252.73001390003</v>
      </c>
      <c r="Q548" s="287">
        <v>368642.85882660002</v>
      </c>
      <c r="R548" s="287">
        <v>384353.39184639999</v>
      </c>
      <c r="S548" s="287">
        <v>393286.5348728</v>
      </c>
      <c r="T548" s="287">
        <v>398966.4841916</v>
      </c>
      <c r="U548" s="287">
        <v>411871.45117800002</v>
      </c>
      <c r="V548" s="287">
        <v>408876.7170453</v>
      </c>
      <c r="W548" s="287">
        <v>410773.4788328</v>
      </c>
      <c r="X548" s="287">
        <v>403815.1685797</v>
      </c>
      <c r="Y548" s="287">
        <v>404447.51352879999</v>
      </c>
      <c r="Z548" s="287">
        <v>382488.37338990002</v>
      </c>
      <c r="AA548" s="287">
        <v>385594.07817430003</v>
      </c>
      <c r="AB548" s="287">
        <v>4726368.7804800998</v>
      </c>
    </row>
    <row r="549" spans="10:28" ht="15" customHeight="1" x14ac:dyDescent="0.25">
      <c r="J549" s="291" t="str">
        <f xml:space="preserve"> _xll.EPMOlapMemberO("[COSTCENTER].[PARENTH1].[1001]","","1001","","000")</f>
        <v>1001</v>
      </c>
      <c r="K549" s="299" t="str">
        <f xml:space="preserve"> _xll.EPMOlapMemberO("[C_ACCOUNT].[PARENTH1].[A_6730030]","","A_6730030","","000")</f>
        <v>A_6730030</v>
      </c>
      <c r="L549" s="293" t="str">
        <f>_xll.EPMMemberDesc(K549)</f>
        <v>Utilities - Telecom</v>
      </c>
      <c r="M549" s="293">
        <v>0</v>
      </c>
      <c r="N549" s="293">
        <v>0</v>
      </c>
      <c r="O549" s="293">
        <v>0</v>
      </c>
      <c r="P549" s="293">
        <v>129368.03149389999</v>
      </c>
      <c r="Q549" s="293">
        <v>126408.1603066</v>
      </c>
      <c r="R549" s="293">
        <v>125298.6933264</v>
      </c>
      <c r="S549" s="293">
        <v>128501.8363528</v>
      </c>
      <c r="T549" s="293">
        <v>126851.7856716</v>
      </c>
      <c r="U549" s="293">
        <v>128446.752658</v>
      </c>
      <c r="V549" s="293">
        <v>126551.57852530001</v>
      </c>
      <c r="W549" s="293">
        <v>126188.78031279999</v>
      </c>
      <c r="X549" s="293">
        <v>126550.4700597</v>
      </c>
      <c r="Y549" s="293">
        <v>132692.81500880001</v>
      </c>
      <c r="Z549" s="293">
        <v>125833.6748699</v>
      </c>
      <c r="AA549" s="293">
        <v>127622.81165430001</v>
      </c>
      <c r="AB549" s="293">
        <v>1530315.3902401</v>
      </c>
    </row>
    <row r="550" spans="10:28" ht="15" customHeight="1" x14ac:dyDescent="0.25">
      <c r="J550" s="291" t="str">
        <f xml:space="preserve"> _xll.EPMOlapMemberO("[COSTCENTER].[PARENTH1].[1001]","","1001","","000")</f>
        <v>1001</v>
      </c>
      <c r="K550" s="299" t="str">
        <f xml:space="preserve"> _xll.EPMOlapMemberO("[C_ACCOUNT].[PARENTH1].[A_6730050]","","A_6730050","","000")</f>
        <v>A_6730050</v>
      </c>
      <c r="L550" s="293" t="str">
        <f>_xll.EPMMemberDesc(K550)</f>
        <v>Utilities - Waste &amp; Trash Management</v>
      </c>
      <c r="M550" s="293">
        <v>0</v>
      </c>
      <c r="N550" s="293">
        <v>0</v>
      </c>
      <c r="O550" s="293">
        <v>0</v>
      </c>
      <c r="P550" s="293">
        <v>67500</v>
      </c>
      <c r="Q550" s="293">
        <v>67500</v>
      </c>
      <c r="R550" s="293">
        <v>75500</v>
      </c>
      <c r="S550" s="293">
        <v>75500</v>
      </c>
      <c r="T550" s="293">
        <v>73900</v>
      </c>
      <c r="U550" s="293">
        <v>74700</v>
      </c>
      <c r="V550" s="293">
        <v>73100</v>
      </c>
      <c r="W550" s="293">
        <v>75500</v>
      </c>
      <c r="X550" s="293">
        <v>73900</v>
      </c>
      <c r="Y550" s="293">
        <v>77100</v>
      </c>
      <c r="Z550" s="293">
        <v>77100</v>
      </c>
      <c r="AA550" s="293">
        <v>78700</v>
      </c>
      <c r="AB550" s="293">
        <v>890000</v>
      </c>
    </row>
    <row r="551" spans="10:28" ht="15" customHeight="1" x14ac:dyDescent="0.25">
      <c r="J551" s="291" t="str">
        <f xml:space="preserve"> _xll.EPMOlapMemberO("[COSTCENTER].[PARENTH1].[1001]","","1001","","000")</f>
        <v>1001</v>
      </c>
      <c r="K551" s="299" t="str">
        <f xml:space="preserve"> _xll.EPMOlapMemberO("[C_ACCOUNT].[PARENTH1].[A_6730060]","","A_6730060","","000")</f>
        <v>A_6730060</v>
      </c>
      <c r="L551" s="293" t="str">
        <f>_xll.EPMMemberDesc(K551)</f>
        <v>Utilities - Water</v>
      </c>
      <c r="M551" s="293">
        <v>0</v>
      </c>
      <c r="N551" s="293">
        <v>0</v>
      </c>
      <c r="O551" s="293">
        <v>0</v>
      </c>
      <c r="P551" s="293">
        <v>87342.37</v>
      </c>
      <c r="Q551" s="293">
        <v>87342.37</v>
      </c>
      <c r="R551" s="293">
        <v>95942.37</v>
      </c>
      <c r="S551" s="293">
        <v>100942.37</v>
      </c>
      <c r="T551" s="293">
        <v>110222.37</v>
      </c>
      <c r="U551" s="293">
        <v>120582.37</v>
      </c>
      <c r="V551" s="293">
        <v>119882.81</v>
      </c>
      <c r="W551" s="293">
        <v>120942.37</v>
      </c>
      <c r="X551" s="293">
        <v>115222.37</v>
      </c>
      <c r="Y551" s="293">
        <v>106662.37</v>
      </c>
      <c r="Z551" s="293">
        <v>91662.37</v>
      </c>
      <c r="AA551" s="293">
        <v>92382.37</v>
      </c>
      <c r="AB551" s="293">
        <v>1249128.8799999999</v>
      </c>
    </row>
    <row r="552" spans="10:28" ht="15" customHeight="1" x14ac:dyDescent="0.25">
      <c r="J552" s="291" t="str">
        <f xml:space="preserve"> _xll.EPMOlapMemberO("[COSTCENTER].[PARENTH1].[1001]","","1001","","000")</f>
        <v>1001</v>
      </c>
      <c r="K552" s="299" t="str">
        <f xml:space="preserve"> _xll.EPMOlapMemberO("[C_ACCOUNT].[PARENTH1].[A_6730800]","","A_6730800","","000")</f>
        <v>A_6730800</v>
      </c>
      <c r="L552" s="293" t="str">
        <f>_xll.EPMMemberDesc(K552)</f>
        <v>Utilities - Other</v>
      </c>
      <c r="M552" s="293">
        <v>0</v>
      </c>
      <c r="N552" s="293">
        <v>0</v>
      </c>
      <c r="O552" s="293">
        <v>0</v>
      </c>
      <c r="P552" s="293">
        <v>39337.101999999999</v>
      </c>
      <c r="Q552" s="293">
        <v>39337.101999999999</v>
      </c>
      <c r="R552" s="293">
        <v>39337.101999999999</v>
      </c>
      <c r="S552" s="293">
        <v>39337.101999999999</v>
      </c>
      <c r="T552" s="293">
        <v>39337.101999999999</v>
      </c>
      <c r="U552" s="293">
        <v>39337.101999999999</v>
      </c>
      <c r="V552" s="293">
        <v>39337.101999999999</v>
      </c>
      <c r="W552" s="293">
        <v>39337.101999999999</v>
      </c>
      <c r="X552" s="293">
        <v>39337.101999999999</v>
      </c>
      <c r="Y552" s="293">
        <v>39337.101999999999</v>
      </c>
      <c r="Z552" s="293">
        <v>39337.101999999999</v>
      </c>
      <c r="AA552" s="293">
        <v>38683.67</v>
      </c>
      <c r="AB552" s="293">
        <v>471391.79200000002</v>
      </c>
    </row>
    <row r="553" spans="10:28" ht="15" customHeight="1" x14ac:dyDescent="0.25">
      <c r="J553" s="291" t="str">
        <f xml:space="preserve"> _xll.EPMOlapMemberO("[COSTCENTER].[PARENTH1].[1001]","","1001","","000")</f>
        <v>1001</v>
      </c>
      <c r="K553" s="299" t="str">
        <f xml:space="preserve"> _xll.EPMOlapMemberO("[C_ACCOUNT].[PARENTH1].[A_S6730000]","","A_S6730000","","000")</f>
        <v>A_S6730000</v>
      </c>
      <c r="L553" s="293" t="str">
        <f>_xll.EPMMemberDesc(K553)</f>
        <v>Settled Utilities Expense</v>
      </c>
      <c r="M553" s="293">
        <v>0</v>
      </c>
      <c r="N553" s="293">
        <v>0</v>
      </c>
      <c r="O553" s="293">
        <v>0</v>
      </c>
      <c r="P553" s="293">
        <v>49705.226519999997</v>
      </c>
      <c r="Q553" s="293">
        <v>48055.226519999997</v>
      </c>
      <c r="R553" s="293">
        <v>48275.226519999997</v>
      </c>
      <c r="S553" s="293">
        <v>49005.226519999997</v>
      </c>
      <c r="T553" s="293">
        <v>48655.226519999997</v>
      </c>
      <c r="U553" s="293">
        <v>48805.226519999997</v>
      </c>
      <c r="V553" s="293">
        <v>50005.226519999997</v>
      </c>
      <c r="W553" s="293">
        <v>48805.226519999997</v>
      </c>
      <c r="X553" s="293">
        <v>48805.226519999997</v>
      </c>
      <c r="Y553" s="293">
        <v>48655.226519999997</v>
      </c>
      <c r="Z553" s="293">
        <v>48555.226519999997</v>
      </c>
      <c r="AA553" s="293">
        <v>48205.226519999997</v>
      </c>
      <c r="AB553" s="293">
        <v>585532.71823999996</v>
      </c>
    </row>
    <row r="554" spans="10:28" ht="15" customHeight="1" x14ac:dyDescent="0.2">
      <c r="J554" s="286" t="str">
        <f xml:space="preserve"> _xll.EPMOlapMemberO("[COSTCENTER].[PARENTH1].[1001]","","1001","","000")</f>
        <v>1001</v>
      </c>
      <c r="K554" s="298" t="str">
        <f xml:space="preserve"> _xll.EPMOlapMemberO("[C_ACCOUNT].[PARENTH1].[MISC_BILLING_EXP]","","MISC_BILLING_EXP","","000")</f>
        <v>MISC_BILLING_EXP</v>
      </c>
      <c r="L554" s="286" t="str">
        <f>_xll.EPMMemberDesc(K554)</f>
        <v>Miscellaneous Billing Expense</v>
      </c>
      <c r="M554" s="287">
        <v>0</v>
      </c>
      <c r="N554" s="287">
        <v>0</v>
      </c>
      <c r="O554" s="287">
        <v>0</v>
      </c>
      <c r="P554" s="287">
        <v>-56719.029926700001</v>
      </c>
      <c r="Q554" s="287">
        <v>91088.970073300006</v>
      </c>
      <c r="R554" s="287">
        <v>-58719.029926700001</v>
      </c>
      <c r="S554" s="287">
        <v>-58719.029926700001</v>
      </c>
      <c r="T554" s="287">
        <v>-58319.029926700001</v>
      </c>
      <c r="U554" s="287">
        <v>-58519.029926700001</v>
      </c>
      <c r="V554" s="287">
        <v>-58119.029926700001</v>
      </c>
      <c r="W554" s="287">
        <v>-58719.029926700001</v>
      </c>
      <c r="X554" s="287">
        <v>-58319.029926700001</v>
      </c>
      <c r="Y554" s="287">
        <v>-59119.029926700001</v>
      </c>
      <c r="Z554" s="287">
        <v>-59119.029926700001</v>
      </c>
      <c r="AA554" s="287">
        <v>-59458.389926700002</v>
      </c>
      <c r="AB554" s="287">
        <v>-552759.71912040003</v>
      </c>
    </row>
    <row r="555" spans="10:28" ht="15" customHeight="1" x14ac:dyDescent="0.25">
      <c r="J555" s="291" t="str">
        <f xml:space="preserve"> _xll.EPMOlapMemberO("[COSTCENTER].[PARENTH1].[1001]","","1001","","000")</f>
        <v>1001</v>
      </c>
      <c r="K555" s="299" t="str">
        <f xml:space="preserve"> _xll.EPMOlapMemberO("[C_ACCOUNT].[PARENTH1].[A_6780800]","","A_6780800","","000")</f>
        <v>A_6780800</v>
      </c>
      <c r="L555" s="293" t="str">
        <f>_xll.EPMMemberDesc(K555)</f>
        <v>Miscellaneous Billing Exp General</v>
      </c>
      <c r="M555" s="293">
        <v>0</v>
      </c>
      <c r="N555" s="293">
        <v>0</v>
      </c>
      <c r="O555" s="293">
        <v>0</v>
      </c>
      <c r="P555" s="293">
        <v>-31262.716666699998</v>
      </c>
      <c r="Q555" s="293">
        <v>116545.2833333</v>
      </c>
      <c r="R555" s="293">
        <v>-33262.716666699998</v>
      </c>
      <c r="S555" s="293">
        <v>-33262.716666699998</v>
      </c>
      <c r="T555" s="293">
        <v>-32862.716666699998</v>
      </c>
      <c r="U555" s="293">
        <v>-33062.716666699998</v>
      </c>
      <c r="V555" s="293">
        <v>-32662.716666699998</v>
      </c>
      <c r="W555" s="293">
        <v>-33262.716666699998</v>
      </c>
      <c r="X555" s="293">
        <v>-32862.716666699998</v>
      </c>
      <c r="Y555" s="293">
        <v>-33662.716666699998</v>
      </c>
      <c r="Z555" s="293">
        <v>-33662.716666699998</v>
      </c>
      <c r="AA555" s="293">
        <v>-34002.076666699999</v>
      </c>
      <c r="AB555" s="293">
        <v>-247283.96000039999</v>
      </c>
    </row>
    <row r="556" spans="10:28" ht="15" customHeight="1" x14ac:dyDescent="0.25">
      <c r="J556" s="291" t="str">
        <f xml:space="preserve"> _xll.EPMOlapMemberO("[COSTCENTER].[PARENTH1].[1001]","","1001","","000")</f>
        <v>1001</v>
      </c>
      <c r="K556" s="299" t="str">
        <f xml:space="preserve"> _xll.EPMOlapMemberO("[C_ACCOUNT].[PARENTH1].[A_S6780000]","","A_S6780000","","000")</f>
        <v>A_S6780000</v>
      </c>
      <c r="L556" s="293" t="str">
        <f>_xll.EPMMemberDesc(K556)</f>
        <v>Settled Miscellaneous Billing Expense</v>
      </c>
      <c r="M556" s="293">
        <v>0</v>
      </c>
      <c r="N556" s="293">
        <v>0</v>
      </c>
      <c r="O556" s="293">
        <v>0</v>
      </c>
      <c r="P556" s="293">
        <v>-25456.313259999999</v>
      </c>
      <c r="Q556" s="293">
        <v>-25456.313259999999</v>
      </c>
      <c r="R556" s="293">
        <v>-25456.313259999999</v>
      </c>
      <c r="S556" s="293">
        <v>-25456.313259999999</v>
      </c>
      <c r="T556" s="293">
        <v>-25456.313259999999</v>
      </c>
      <c r="U556" s="293">
        <v>-25456.313259999999</v>
      </c>
      <c r="V556" s="293">
        <v>-25456.313259999999</v>
      </c>
      <c r="W556" s="293">
        <v>-25456.313259999999</v>
      </c>
      <c r="X556" s="293">
        <v>-25456.313259999999</v>
      </c>
      <c r="Y556" s="293">
        <v>-25456.313259999999</v>
      </c>
      <c r="Z556" s="293">
        <v>-25456.313259999999</v>
      </c>
      <c r="AA556" s="293">
        <v>-25456.313259999999</v>
      </c>
      <c r="AB556" s="293">
        <v>-305475.75912</v>
      </c>
    </row>
    <row r="557" spans="10:28" ht="15" customHeight="1" x14ac:dyDescent="0.2">
      <c r="J557" s="286" t="str">
        <f xml:space="preserve"> _xll.EPMOlapMemberO("[COSTCENTER].[PARENTH1].[1001]","","1001","","000")</f>
        <v>1001</v>
      </c>
      <c r="K557" s="298" t="str">
        <f xml:space="preserve"> _xll.EPMOlapMemberO("[C_ACCOUNT].[PARENTH1].[OTHER_OPERATIONAL]","","OTHER_OPERATIONAL","","000")</f>
        <v>OTHER_OPERATIONAL</v>
      </c>
      <c r="L557" s="286" t="str">
        <f>_xll.EPMMemberDesc(K557)</f>
        <v>Other Operational</v>
      </c>
      <c r="M557" s="287">
        <v>0</v>
      </c>
      <c r="N557" s="287">
        <v>0</v>
      </c>
      <c r="O557" s="287">
        <v>0</v>
      </c>
      <c r="P557" s="287">
        <v>1869792.5636960999</v>
      </c>
      <c r="Q557" s="287">
        <v>846972.79116230004</v>
      </c>
      <c r="R557" s="287">
        <v>1989336.6290168001</v>
      </c>
      <c r="S557" s="287">
        <v>504198.52770660003</v>
      </c>
      <c r="T557" s="287">
        <v>591912.89455229999</v>
      </c>
      <c r="U557" s="287">
        <v>1608372.0791988</v>
      </c>
      <c r="V557" s="287">
        <v>553409.1680992</v>
      </c>
      <c r="W557" s="287">
        <v>-305734.49442050001</v>
      </c>
      <c r="X557" s="287">
        <v>1755864.5621917001</v>
      </c>
      <c r="Y557" s="287">
        <v>517577.14744750003</v>
      </c>
      <c r="Z557" s="287">
        <v>228394.58034859999</v>
      </c>
      <c r="AA557" s="287">
        <v>1102231.1832701</v>
      </c>
      <c r="AB557" s="287">
        <v>11262327.6322695</v>
      </c>
    </row>
    <row r="558" spans="10:28" ht="15" customHeight="1" x14ac:dyDescent="0.25">
      <c r="J558" s="291" t="str">
        <f xml:space="preserve"> _xll.EPMOlapMemberO("[COSTCENTER].[PARENTH1].[1001]","","1001","","000")</f>
        <v>1001</v>
      </c>
      <c r="K558" s="299" t="str">
        <f xml:space="preserve"> _xll.EPMOlapMemberO("[C_ACCOUNT].[PARENTH1].[A_6790010]","","A_6790010","","000")</f>
        <v>A_6790010</v>
      </c>
      <c r="L558" s="293" t="str">
        <f>_xll.EPMMemberDesc(K558)</f>
        <v>Bad Debt Expense</v>
      </c>
      <c r="M558" s="293">
        <v>0</v>
      </c>
      <c r="N558" s="293">
        <v>0</v>
      </c>
      <c r="O558" s="293">
        <v>0</v>
      </c>
      <c r="P558" s="293">
        <v>782150.26017879997</v>
      </c>
      <c r="Q558" s="293">
        <v>598075.05636020005</v>
      </c>
      <c r="R558" s="293">
        <v>608262.31456960004</v>
      </c>
      <c r="S558" s="293">
        <v>416579.1470075</v>
      </c>
      <c r="T558" s="293">
        <v>419284.11074490001</v>
      </c>
      <c r="U558" s="293">
        <v>486348.27922839997</v>
      </c>
      <c r="V558" s="293">
        <v>397206.11291810003</v>
      </c>
      <c r="W558" s="293">
        <v>-330458.4572142</v>
      </c>
      <c r="X558" s="293">
        <v>396366.9930514</v>
      </c>
      <c r="Y558" s="293">
        <v>299938.63087529998</v>
      </c>
      <c r="Z558" s="293">
        <v>234991.16796729999</v>
      </c>
      <c r="AA558" s="293">
        <v>413603.86960719997</v>
      </c>
      <c r="AB558" s="293">
        <v>4722347.4852945004</v>
      </c>
    </row>
    <row r="559" spans="10:28" ht="15" customHeight="1" x14ac:dyDescent="0.25">
      <c r="J559" s="291" t="str">
        <f xml:space="preserve"> _xll.EPMOlapMemberO("[COSTCENTER].[PARENTH1].[1001]","","1001","","000")</f>
        <v>1001</v>
      </c>
      <c r="K559" s="299" t="str">
        <f xml:space="preserve"> _xll.EPMOlapMemberO("[C_ACCOUNT].[PARENTH1].[A_6790030]","","A_6790030","","000")</f>
        <v>A_6790030</v>
      </c>
      <c r="L559" s="293" t="str">
        <f>_xll.EPMMemberDesc(K559)</f>
        <v>Director's Expenses</v>
      </c>
      <c r="M559" s="293">
        <v>0</v>
      </c>
      <c r="N559" s="293">
        <v>0</v>
      </c>
      <c r="O559" s="293">
        <v>0</v>
      </c>
      <c r="P559" s="293">
        <v>0</v>
      </c>
      <c r="Q559" s="293">
        <v>0</v>
      </c>
      <c r="R559" s="293">
        <v>141783.86123529999</v>
      </c>
      <c r="S559" s="293">
        <v>0</v>
      </c>
      <c r="T559" s="293">
        <v>0</v>
      </c>
      <c r="U559" s="293">
        <v>141783.86123529999</v>
      </c>
      <c r="V559" s="293">
        <v>0</v>
      </c>
      <c r="W559" s="293">
        <v>0</v>
      </c>
      <c r="X559" s="293">
        <v>141783.86123529999</v>
      </c>
      <c r="Y559" s="293">
        <v>0</v>
      </c>
      <c r="Z559" s="293">
        <v>0</v>
      </c>
      <c r="AA559" s="293">
        <v>178480.8606138</v>
      </c>
      <c r="AB559" s="293">
        <v>603832.44431970001</v>
      </c>
    </row>
    <row r="560" spans="10:28" ht="15" customHeight="1" x14ac:dyDescent="0.25">
      <c r="J560" s="291" t="str">
        <f xml:space="preserve"> _xll.EPMOlapMemberO("[COSTCENTER].[PARENTH1].[1001]","","1001","","000")</f>
        <v>1001</v>
      </c>
      <c r="K560" s="299" t="str">
        <f xml:space="preserve"> _xll.EPMOlapMemberO("[C_ACCOUNT].[PARENTH1].[A_6790050]","","A_6790050","","000")</f>
        <v>A_6790050</v>
      </c>
      <c r="L560" s="293" t="str">
        <f>_xll.EPMMemberDesc(K560)</f>
        <v>Deferred Compensation</v>
      </c>
      <c r="M560" s="293">
        <v>0</v>
      </c>
      <c r="N560" s="293">
        <v>0</v>
      </c>
      <c r="O560" s="293">
        <v>0</v>
      </c>
      <c r="P560" s="293">
        <v>0</v>
      </c>
      <c r="Q560" s="293">
        <v>0</v>
      </c>
      <c r="R560" s="293">
        <v>26569.25</v>
      </c>
      <c r="S560" s="293">
        <v>0</v>
      </c>
      <c r="T560" s="293">
        <v>0</v>
      </c>
      <c r="U560" s="293">
        <v>26569.25</v>
      </c>
      <c r="V560" s="293">
        <v>0</v>
      </c>
      <c r="W560" s="293">
        <v>0</v>
      </c>
      <c r="X560" s="293">
        <v>26569.25</v>
      </c>
      <c r="Y560" s="293">
        <v>0</v>
      </c>
      <c r="Z560" s="293">
        <v>0</v>
      </c>
      <c r="AA560" s="293">
        <v>26569.25</v>
      </c>
      <c r="AB560" s="293">
        <v>106277</v>
      </c>
    </row>
    <row r="561" spans="10:28" ht="15" customHeight="1" x14ac:dyDescent="0.25">
      <c r="J561" s="291" t="str">
        <f xml:space="preserve"> _xll.EPMOlapMemberO("[COSTCENTER].[PARENTH1].[1001]","","1001","","000")</f>
        <v>1001</v>
      </c>
      <c r="K561" s="299" t="str">
        <f xml:space="preserve"> _xll.EPMOlapMemberO("[C_ACCOUNT].[PARENTH1].[A_6790055]","","A_6790055","","000")</f>
        <v>A_6790055</v>
      </c>
      <c r="L561" s="293" t="str">
        <f>_xll.EPMMemberDesc(K561)</f>
        <v>Economic Development</v>
      </c>
      <c r="M561" s="293">
        <v>0</v>
      </c>
      <c r="N561" s="293">
        <v>0</v>
      </c>
      <c r="O561" s="293">
        <v>0</v>
      </c>
      <c r="P561" s="293">
        <v>32029.48</v>
      </c>
      <c r="Q561" s="293">
        <v>30110</v>
      </c>
      <c r="R561" s="293">
        <v>13286</v>
      </c>
      <c r="S561" s="293">
        <v>9198</v>
      </c>
      <c r="T561" s="293">
        <v>31288.53</v>
      </c>
      <c r="U561" s="293">
        <v>47012</v>
      </c>
      <c r="V561" s="293">
        <v>35153.300000000003</v>
      </c>
      <c r="W561" s="293">
        <v>31796.3</v>
      </c>
      <c r="X561" s="293">
        <v>26251.95</v>
      </c>
      <c r="Y561" s="293">
        <v>72996.350000000006</v>
      </c>
      <c r="Z561" s="293">
        <v>10731</v>
      </c>
      <c r="AA561" s="293">
        <v>1890.7</v>
      </c>
      <c r="AB561" s="293">
        <v>341743.61</v>
      </c>
    </row>
    <row r="562" spans="10:28" ht="15" customHeight="1" x14ac:dyDescent="0.25">
      <c r="J562" s="291" t="str">
        <f xml:space="preserve"> _xll.EPMOlapMemberO("[COSTCENTER].[PARENTH1].[1001]","","1001","","000")</f>
        <v>1001</v>
      </c>
      <c r="K562" s="299" t="str">
        <f xml:space="preserve"> _xll.EPMOlapMemberO("[C_ACCOUNT].[PARENTH1].[A_6790060]","","A_6790060","","000")</f>
        <v>A_6790060</v>
      </c>
      <c r="L562" s="293" t="str">
        <f>_xll.EPMMemberDesc(K562)</f>
        <v>Industry Dues</v>
      </c>
      <c r="M562" s="293">
        <v>0</v>
      </c>
      <c r="N562" s="293">
        <v>0</v>
      </c>
      <c r="O562" s="293">
        <v>0</v>
      </c>
      <c r="P562" s="293">
        <v>532310.80892029998</v>
      </c>
      <c r="Q562" s="293">
        <v>66150</v>
      </c>
      <c r="R562" s="293">
        <v>731758.30892029998</v>
      </c>
      <c r="S562" s="293">
        <v>2127.5</v>
      </c>
      <c r="T562" s="293">
        <v>830</v>
      </c>
      <c r="U562" s="293">
        <v>656078.30892029998</v>
      </c>
      <c r="V562" s="293">
        <v>23097.5</v>
      </c>
      <c r="W562" s="293">
        <v>24189.8</v>
      </c>
      <c r="X562" s="293">
        <v>664818.30892029998</v>
      </c>
      <c r="Y562" s="293">
        <v>2147.5</v>
      </c>
      <c r="Z562" s="293">
        <v>870</v>
      </c>
      <c r="AA562" s="293">
        <v>200990</v>
      </c>
      <c r="AB562" s="293">
        <v>2905368.0356812002</v>
      </c>
    </row>
    <row r="563" spans="10:28" ht="15" customHeight="1" x14ac:dyDescent="0.25">
      <c r="J563" s="291" t="str">
        <f xml:space="preserve"> _xll.EPMOlapMemberO("[COSTCENTER].[PARENTH1].[1001]","","1001","","000")</f>
        <v>1001</v>
      </c>
      <c r="K563" s="299" t="str">
        <f xml:space="preserve"> _xll.EPMOlapMemberO("[C_ACCOUNT].[PARENTH1].[A_6790090]","","A_6790090","","000")</f>
        <v>A_6790090</v>
      </c>
      <c r="L563" s="293" t="str">
        <f>_xll.EPMMemberDesc(K563)</f>
        <v>Donations - Charitable (501c)</v>
      </c>
      <c r="M563" s="293">
        <v>0</v>
      </c>
      <c r="N563" s="293">
        <v>0</v>
      </c>
      <c r="O563" s="293">
        <v>0</v>
      </c>
      <c r="P563" s="293">
        <v>666938.65</v>
      </c>
      <c r="Q563" s="293">
        <v>192207.54</v>
      </c>
      <c r="R563" s="293">
        <v>98183.54</v>
      </c>
      <c r="S563" s="293">
        <v>111465.452</v>
      </c>
      <c r="T563" s="293">
        <v>190194.2</v>
      </c>
      <c r="U563" s="293">
        <v>215212.76</v>
      </c>
      <c r="V563" s="293">
        <v>241396.4</v>
      </c>
      <c r="W563" s="293">
        <v>85236.79</v>
      </c>
      <c r="X563" s="293">
        <v>70799.05</v>
      </c>
      <c r="Y563" s="293">
        <v>97457.919999999998</v>
      </c>
      <c r="Z563" s="293">
        <v>100299.08</v>
      </c>
      <c r="AA563" s="293">
        <v>58186.548000000003</v>
      </c>
      <c r="AB563" s="293">
        <v>2127577.9300000002</v>
      </c>
    </row>
    <row r="564" spans="10:28" ht="15" customHeight="1" x14ac:dyDescent="0.25">
      <c r="J564" s="291" t="str">
        <f xml:space="preserve"> _xll.EPMOlapMemberO("[COSTCENTER].[PARENTH1].[1001]","","1001","","000")</f>
        <v>1001</v>
      </c>
      <c r="K564" s="299" t="str">
        <f xml:space="preserve"> _xll.EPMOlapMemberO("[C_ACCOUNT].[PARENTH1].[A_6790091]","","A_6790091","","000")</f>
        <v>A_6790091</v>
      </c>
      <c r="L564" s="293" t="str">
        <f>_xll.EPMMemberDesc(K564)</f>
        <v>Donations - Non deductible</v>
      </c>
      <c r="M564" s="293">
        <v>0</v>
      </c>
      <c r="N564" s="293">
        <v>0</v>
      </c>
      <c r="O564" s="293">
        <v>0</v>
      </c>
      <c r="P564" s="293">
        <v>14629.93</v>
      </c>
      <c r="Q564" s="293">
        <v>7314.4539999999997</v>
      </c>
      <c r="R564" s="293">
        <v>19598.894</v>
      </c>
      <c r="S564" s="293">
        <v>22414.45</v>
      </c>
      <c r="T564" s="293">
        <v>9581.25</v>
      </c>
      <c r="U564" s="293">
        <v>7312.41</v>
      </c>
      <c r="V564" s="293">
        <v>1808.94</v>
      </c>
      <c r="W564" s="293">
        <v>8738.1</v>
      </c>
      <c r="X564" s="293">
        <v>2770.6419999999998</v>
      </c>
      <c r="Y564" s="293">
        <v>24017</v>
      </c>
      <c r="Z564" s="293">
        <v>2417.0300000000002</v>
      </c>
      <c r="AA564" s="293">
        <v>388.36</v>
      </c>
      <c r="AB564" s="293">
        <v>120991.46</v>
      </c>
    </row>
    <row r="565" spans="10:28" ht="15" customHeight="1" x14ac:dyDescent="0.25">
      <c r="J565" s="291" t="str">
        <f xml:space="preserve"> _xll.EPMOlapMemberO("[COSTCENTER].[PARENTH1].[1001]","","1001","","000")</f>
        <v>1001</v>
      </c>
      <c r="K565" s="299" t="str">
        <f xml:space="preserve"> _xll.EPMOlapMemberO("[C_ACCOUNT].[PARENTH1].[A_6790092]","","A_6790092","","000")</f>
        <v>A_6790092</v>
      </c>
      <c r="L565" s="293" t="str">
        <f>_xll.EPMMemberDesc(K565)</f>
        <v>Donations - Other</v>
      </c>
      <c r="M565" s="293">
        <v>0</v>
      </c>
      <c r="N565" s="293">
        <v>0</v>
      </c>
      <c r="O565" s="293">
        <v>0</v>
      </c>
      <c r="P565" s="293">
        <v>58105.81</v>
      </c>
      <c r="Q565" s="293">
        <v>67411.12</v>
      </c>
      <c r="R565" s="293">
        <v>57743</v>
      </c>
      <c r="S565" s="293">
        <v>36510.949999999997</v>
      </c>
      <c r="T565" s="293">
        <v>6924.05</v>
      </c>
      <c r="U565" s="293">
        <v>26725.3</v>
      </c>
      <c r="V565" s="293">
        <v>23454.9</v>
      </c>
      <c r="W565" s="293">
        <v>4701.2</v>
      </c>
      <c r="X565" s="293">
        <v>7690.55</v>
      </c>
      <c r="Y565" s="293">
        <v>19673.5</v>
      </c>
      <c r="Z565" s="293">
        <v>11599.7</v>
      </c>
      <c r="AA565" s="293">
        <v>1941.8</v>
      </c>
      <c r="AB565" s="293">
        <v>322481.88</v>
      </c>
    </row>
    <row r="566" spans="10:28" ht="15" customHeight="1" x14ac:dyDescent="0.25">
      <c r="J566" s="291" t="str">
        <f xml:space="preserve"> _xll.EPMOlapMemberO("[COSTCENTER].[PARENTH1].[1001]","","1001","","000")</f>
        <v>1001</v>
      </c>
      <c r="K566" s="299" t="str">
        <f xml:space="preserve"> _xll.EPMOlapMemberO("[C_ACCOUNT].[PARENTH1].[A_6790101]","","A_6790101","","000")</f>
        <v>A_6790101</v>
      </c>
      <c r="L566" s="293" t="str">
        <f>_xll.EPMMemberDesc(K566)</f>
        <v>Fees - Bank</v>
      </c>
      <c r="M566" s="293">
        <v>0</v>
      </c>
      <c r="N566" s="293">
        <v>0</v>
      </c>
      <c r="O566" s="293">
        <v>0</v>
      </c>
      <c r="P566" s="293">
        <v>152455.63333330001</v>
      </c>
      <c r="Q566" s="293">
        <v>69032.513333299998</v>
      </c>
      <c r="R566" s="293">
        <v>88471.253333300003</v>
      </c>
      <c r="S566" s="293">
        <v>152111.26333330001</v>
      </c>
      <c r="T566" s="293">
        <v>69721.253333300003</v>
      </c>
      <c r="U566" s="293">
        <v>69376.883333299993</v>
      </c>
      <c r="V566" s="293">
        <v>152455.63333330001</v>
      </c>
      <c r="W566" s="293">
        <v>69721.253333300003</v>
      </c>
      <c r="X566" s="293">
        <v>69376.883333299993</v>
      </c>
      <c r="Y566" s="293">
        <v>152455.63333330001</v>
      </c>
      <c r="Z566" s="293">
        <v>65349.103333300001</v>
      </c>
      <c r="AA566" s="293">
        <v>65415.693333299998</v>
      </c>
      <c r="AB566" s="293">
        <v>1175942.9999996</v>
      </c>
    </row>
    <row r="567" spans="10:28" ht="15" customHeight="1" x14ac:dyDescent="0.25">
      <c r="J567" s="291" t="str">
        <f xml:space="preserve"> _xll.EPMOlapMemberO("[COSTCENTER].[PARENTH1].[1001]","","1001","","000")</f>
        <v>1001</v>
      </c>
      <c r="K567" s="299" t="str">
        <f xml:space="preserve"> _xll.EPMOlapMemberO("[C_ACCOUNT].[PARENTH1].[A_6790102]","","A_6790102","","000")</f>
        <v>A_6790102</v>
      </c>
      <c r="L567" s="293" t="str">
        <f>_xll.EPMMemberDesc(K567)</f>
        <v>Fees - Report Filing</v>
      </c>
      <c r="M567" s="293">
        <v>0</v>
      </c>
      <c r="N567" s="293">
        <v>0</v>
      </c>
      <c r="O567" s="293">
        <v>0</v>
      </c>
      <c r="P567" s="293">
        <v>1100</v>
      </c>
      <c r="Q567" s="293">
        <v>1000</v>
      </c>
      <c r="R567" s="293">
        <v>1000</v>
      </c>
      <c r="S567" s="293">
        <v>1000</v>
      </c>
      <c r="T567" s="293">
        <v>1000</v>
      </c>
      <c r="U567" s="293">
        <v>1355.5</v>
      </c>
      <c r="V567" s="293">
        <v>1000</v>
      </c>
      <c r="W567" s="293">
        <v>1000</v>
      </c>
      <c r="X567" s="293">
        <v>1000</v>
      </c>
      <c r="Y567" s="293">
        <v>1000</v>
      </c>
      <c r="Z567" s="293">
        <v>1000</v>
      </c>
      <c r="AA567" s="293">
        <v>1344.5</v>
      </c>
      <c r="AB567" s="293">
        <v>12800</v>
      </c>
    </row>
    <row r="568" spans="10:28" ht="15" customHeight="1" x14ac:dyDescent="0.25">
      <c r="J568" s="291" t="str">
        <f xml:space="preserve"> _xll.EPMOlapMemberO("[COSTCENTER].[PARENTH1].[1001]","","1001","","000")</f>
        <v>1001</v>
      </c>
      <c r="K568" s="299" t="str">
        <f xml:space="preserve"> _xll.EPMOlapMemberO("[C_ACCOUNT].[PARENTH1].[A_6790103]","","A_6790103","","000")</f>
        <v>A_6790103</v>
      </c>
      <c r="L568" s="293" t="str">
        <f>_xll.EPMMemberDesc(K568)</f>
        <v>Fees - Registration</v>
      </c>
      <c r="M568" s="293">
        <v>0</v>
      </c>
      <c r="N568" s="293">
        <v>0</v>
      </c>
      <c r="O568" s="293">
        <v>0</v>
      </c>
      <c r="P568" s="293">
        <v>16219.554</v>
      </c>
      <c r="Q568" s="293">
        <v>4719.5540000000001</v>
      </c>
      <c r="R568" s="293">
        <v>7084.9759999999997</v>
      </c>
      <c r="S568" s="293">
        <v>4879.5540000000001</v>
      </c>
      <c r="T568" s="293">
        <v>5844.0039999999999</v>
      </c>
      <c r="U568" s="293">
        <v>6864.576</v>
      </c>
      <c r="V568" s="293">
        <v>4831.5540000000001</v>
      </c>
      <c r="W568" s="293">
        <v>4879.5540000000001</v>
      </c>
      <c r="X568" s="293">
        <v>6848.576</v>
      </c>
      <c r="Y568" s="293">
        <v>4911.5540000000001</v>
      </c>
      <c r="Z568" s="293">
        <v>5013.7539999999999</v>
      </c>
      <c r="AA568" s="293">
        <v>5297.1660000000002</v>
      </c>
      <c r="AB568" s="293">
        <v>77394.376000000004</v>
      </c>
    </row>
    <row r="569" spans="10:28" ht="15" customHeight="1" x14ac:dyDescent="0.25">
      <c r="J569" s="291" t="str">
        <f xml:space="preserve"> _xll.EPMOlapMemberO("[COSTCENTER].[PARENTH1].[1001]","","1001","","000")</f>
        <v>1001</v>
      </c>
      <c r="K569" s="299" t="str">
        <f xml:space="preserve"> _xll.EPMOlapMemberO("[C_ACCOUNT].[PARENTH1].[A_6790199]","","A_6790199","","000")</f>
        <v>A_6790199</v>
      </c>
      <c r="L569" s="293" t="str">
        <f>_xll.EPMMemberDesc(K569)</f>
        <v>Fees - Miscellaneous - Below the line</v>
      </c>
      <c r="M569" s="293">
        <v>0</v>
      </c>
      <c r="N569" s="293">
        <v>0</v>
      </c>
      <c r="O569" s="293">
        <v>0</v>
      </c>
      <c r="P569" s="293">
        <v>5000</v>
      </c>
      <c r="Q569" s="293">
        <v>5000</v>
      </c>
      <c r="R569" s="293">
        <v>5000</v>
      </c>
      <c r="S569" s="293">
        <v>5000</v>
      </c>
      <c r="T569" s="293">
        <v>5000</v>
      </c>
      <c r="U569" s="293">
        <v>5000</v>
      </c>
      <c r="V569" s="293">
        <v>5000</v>
      </c>
      <c r="W569" s="293">
        <v>5204.3999999999996</v>
      </c>
      <c r="X569" s="293">
        <v>5000</v>
      </c>
      <c r="Y569" s="293">
        <v>5000</v>
      </c>
      <c r="Z569" s="293">
        <v>5000</v>
      </c>
      <c r="AA569" s="293">
        <v>5000</v>
      </c>
      <c r="AB569" s="293">
        <v>60204.4</v>
      </c>
    </row>
    <row r="570" spans="10:28" ht="15" customHeight="1" x14ac:dyDescent="0.25">
      <c r="J570" s="291" t="str">
        <f xml:space="preserve"> _xll.EPMOlapMemberO("[COSTCENTER].[PARENTH1].[1001]","","1001","","000")</f>
        <v>1001</v>
      </c>
      <c r="K570" s="299" t="str">
        <f xml:space="preserve"> _xll.EPMOlapMemberO("[C_ACCOUNT].[PARENTH1].[A_6790200]","","A_6790200","","000")</f>
        <v>A_6790200</v>
      </c>
      <c r="L570" s="293" t="str">
        <f>_xll.EPMMemberDesc(K570)</f>
        <v>Penalties</v>
      </c>
      <c r="M570" s="293">
        <v>0</v>
      </c>
      <c r="N570" s="293">
        <v>0</v>
      </c>
      <c r="O570" s="293">
        <v>0</v>
      </c>
      <c r="P570" s="293">
        <v>0</v>
      </c>
      <c r="Q570" s="293">
        <v>0</v>
      </c>
      <c r="R570" s="293">
        <v>20600</v>
      </c>
      <c r="S570" s="293">
        <v>0</v>
      </c>
      <c r="T570" s="293">
        <v>0</v>
      </c>
      <c r="U570" s="293">
        <v>20600</v>
      </c>
      <c r="V570" s="293">
        <v>0</v>
      </c>
      <c r="W570" s="293">
        <v>0</v>
      </c>
      <c r="X570" s="293">
        <v>20600</v>
      </c>
      <c r="Y570" s="293">
        <v>0</v>
      </c>
      <c r="Z570" s="293">
        <v>0</v>
      </c>
      <c r="AA570" s="293">
        <v>41200</v>
      </c>
      <c r="AB570" s="293">
        <v>103000</v>
      </c>
    </row>
    <row r="571" spans="10:28" ht="15" customHeight="1" x14ac:dyDescent="0.25">
      <c r="J571" s="291" t="str">
        <f xml:space="preserve"> _xll.EPMOlapMemberO("[COSTCENTER].[PARENTH1].[1001]","","1001","","000")</f>
        <v>1001</v>
      </c>
      <c r="K571" s="299" t="str">
        <f xml:space="preserve"> _xll.EPMOlapMemberO("[C_ACCOUNT].[PARENTH1].[A_6790210]","","A_6790210","","000")</f>
        <v>A_6790210</v>
      </c>
      <c r="L571" s="293" t="str">
        <f>_xll.EPMMemberDesc(K571)</f>
        <v>Permitting</v>
      </c>
      <c r="M571" s="293">
        <v>0</v>
      </c>
      <c r="N571" s="293">
        <v>0</v>
      </c>
      <c r="O571" s="293">
        <v>0</v>
      </c>
      <c r="P571" s="293">
        <v>28732</v>
      </c>
      <c r="Q571" s="293">
        <v>21132</v>
      </c>
      <c r="R571" s="293">
        <v>38132</v>
      </c>
      <c r="S571" s="293">
        <v>23132</v>
      </c>
      <c r="T571" s="293">
        <v>22732</v>
      </c>
      <c r="U571" s="293">
        <v>22932</v>
      </c>
      <c r="V571" s="293">
        <v>22532</v>
      </c>
      <c r="W571" s="293">
        <v>23132</v>
      </c>
      <c r="X571" s="293">
        <v>22732</v>
      </c>
      <c r="Y571" s="293">
        <v>26352.720000000001</v>
      </c>
      <c r="Z571" s="293">
        <v>23532</v>
      </c>
      <c r="AA571" s="293">
        <v>23932</v>
      </c>
      <c r="AB571" s="293">
        <v>299004.71999999997</v>
      </c>
    </row>
    <row r="572" spans="10:28" ht="15" customHeight="1" x14ac:dyDescent="0.25">
      <c r="J572" s="291" t="str">
        <f xml:space="preserve"> _xll.EPMOlapMemberO("[COSTCENTER].[PARENTH1].[1001]","","1001","","000")</f>
        <v>1001</v>
      </c>
      <c r="K572" s="299" t="str">
        <f xml:space="preserve"> _xll.EPMOlapMemberO("[C_ACCOUNT].[PARENTH1].[A_6790220]","","A_6790220","","000")</f>
        <v>A_6790220</v>
      </c>
      <c r="L572" s="293" t="str">
        <f>_xll.EPMMemberDesc(K572)</f>
        <v>Political Contributions</v>
      </c>
      <c r="M572" s="293">
        <v>0</v>
      </c>
      <c r="N572" s="293">
        <v>0</v>
      </c>
      <c r="O572" s="293">
        <v>0</v>
      </c>
      <c r="P572" s="293">
        <v>31534.1753188</v>
      </c>
      <c r="Q572" s="293">
        <v>4167</v>
      </c>
      <c r="R572" s="293">
        <v>32734.1753188</v>
      </c>
      <c r="S572" s="293">
        <v>4167</v>
      </c>
      <c r="T572" s="293">
        <v>5367</v>
      </c>
      <c r="U572" s="293">
        <v>31534.1753188</v>
      </c>
      <c r="V572" s="293">
        <v>5367</v>
      </c>
      <c r="W572" s="293">
        <v>4167</v>
      </c>
      <c r="X572" s="293">
        <v>32734.1753188</v>
      </c>
      <c r="Y572" s="293">
        <v>4167</v>
      </c>
      <c r="Z572" s="293">
        <v>5367</v>
      </c>
      <c r="AA572" s="293">
        <v>4163</v>
      </c>
      <c r="AB572" s="293">
        <v>165468.7012752</v>
      </c>
    </row>
    <row r="573" spans="10:28" ht="15" customHeight="1" x14ac:dyDescent="0.25">
      <c r="J573" s="291" t="str">
        <f xml:space="preserve"> _xll.EPMOlapMemberO("[COSTCENTER].[PARENTH1].[1001]","","1001","","000")</f>
        <v>1001</v>
      </c>
      <c r="K573" s="299" t="str">
        <f xml:space="preserve"> _xll.EPMOlapMemberO("[C_ACCOUNT].[PARENTH1].[A_6790230]","","A_6790230","","000")</f>
        <v>A_6790230</v>
      </c>
      <c r="L573" s="293" t="str">
        <f>_xll.EPMMemberDesc(K573)</f>
        <v>Postage. Shipping and Courier</v>
      </c>
      <c r="M573" s="293">
        <v>0</v>
      </c>
      <c r="N573" s="293">
        <v>0</v>
      </c>
      <c r="O573" s="293">
        <v>0</v>
      </c>
      <c r="P573" s="293">
        <v>210379.35507220001</v>
      </c>
      <c r="Q573" s="293">
        <v>210039.97307219999</v>
      </c>
      <c r="R573" s="293">
        <v>211010.40907220001</v>
      </c>
      <c r="S573" s="293">
        <v>210319.85107219999</v>
      </c>
      <c r="T573" s="293">
        <v>210189.9830722</v>
      </c>
      <c r="U573" s="293">
        <v>210674.41707220001</v>
      </c>
      <c r="V573" s="293">
        <v>210914.9830722</v>
      </c>
      <c r="W573" s="293">
        <v>210330.86307220001</v>
      </c>
      <c r="X573" s="293">
        <v>210600.41707220001</v>
      </c>
      <c r="Y573" s="293">
        <v>210339.9830722</v>
      </c>
      <c r="Z573" s="293">
        <v>210278.9810722</v>
      </c>
      <c r="AA573" s="293">
        <v>216570.56707220001</v>
      </c>
      <c r="AB573" s="293">
        <v>2531649.7828664002</v>
      </c>
    </row>
    <row r="574" spans="10:28" ht="15" customHeight="1" x14ac:dyDescent="0.25">
      <c r="J574" s="291" t="str">
        <f xml:space="preserve"> _xll.EPMOlapMemberO("[COSTCENTER].[PARENTH1].[1001]","","1001","","000")</f>
        <v>1001</v>
      </c>
      <c r="K574" s="299" t="str">
        <f xml:space="preserve"> _xll.EPMOlapMemberO("[C_ACCOUNT].[PARENTH1].[A_6790250]","","A_6790250","","000")</f>
        <v>A_6790250</v>
      </c>
      <c r="L574" s="293" t="str">
        <f>_xll.EPMMemberDesc(K574)</f>
        <v>Energy Conservation Allowances</v>
      </c>
      <c r="M574" s="293">
        <v>0</v>
      </c>
      <c r="N574" s="293">
        <v>0</v>
      </c>
      <c r="O574" s="293">
        <v>0</v>
      </c>
      <c r="P574" s="293">
        <v>2511141</v>
      </c>
      <c r="Q574" s="293">
        <v>2595221</v>
      </c>
      <c r="R574" s="293">
        <v>2511451</v>
      </c>
      <c r="S574" s="293">
        <v>2551761</v>
      </c>
      <c r="T574" s="293">
        <v>2557696</v>
      </c>
      <c r="U574" s="293">
        <v>2509726</v>
      </c>
      <c r="V574" s="293">
        <v>2521266</v>
      </c>
      <c r="W574" s="293">
        <v>2541546</v>
      </c>
      <c r="X574" s="293">
        <v>2672701</v>
      </c>
      <c r="Y574" s="293">
        <v>2569571</v>
      </c>
      <c r="Z574" s="293">
        <v>2544846</v>
      </c>
      <c r="AA574" s="293">
        <v>2538526</v>
      </c>
      <c r="AB574" s="293">
        <v>30625452</v>
      </c>
    </row>
    <row r="575" spans="10:28" ht="15" customHeight="1" x14ac:dyDescent="0.25">
      <c r="J575" s="291" t="str">
        <f xml:space="preserve"> _xll.EPMOlapMemberO("[COSTCENTER].[PARENTH1].[1001]","","1001","","000")</f>
        <v>1001</v>
      </c>
      <c r="K575" s="299" t="str">
        <f xml:space="preserve"> _xll.EPMOlapMemberO("[C_ACCOUNT].[PARENTH1].[A_6790255]","","A_6790255","","000")</f>
        <v>A_6790255</v>
      </c>
      <c r="L575" s="293" t="str">
        <f>_xll.EPMMemberDesc(K575)</f>
        <v>Selling and Marketing Expense</v>
      </c>
      <c r="M575" s="293">
        <v>0</v>
      </c>
      <c r="N575" s="293">
        <v>0</v>
      </c>
      <c r="O575" s="293">
        <v>0</v>
      </c>
      <c r="P575" s="293">
        <v>333.33</v>
      </c>
      <c r="Q575" s="293">
        <v>333.33</v>
      </c>
      <c r="R575" s="293">
        <v>333.33</v>
      </c>
      <c r="S575" s="293">
        <v>333.33</v>
      </c>
      <c r="T575" s="293">
        <v>333.33</v>
      </c>
      <c r="U575" s="293">
        <v>333.33</v>
      </c>
      <c r="V575" s="293">
        <v>333.33</v>
      </c>
      <c r="W575" s="293">
        <v>333.33</v>
      </c>
      <c r="X575" s="293">
        <v>333.33</v>
      </c>
      <c r="Y575" s="293">
        <v>333.33</v>
      </c>
      <c r="Z575" s="293">
        <v>333.33</v>
      </c>
      <c r="AA575" s="293">
        <v>333.33</v>
      </c>
      <c r="AB575" s="293">
        <v>3999.96</v>
      </c>
    </row>
    <row r="576" spans="10:28" ht="15" customHeight="1" x14ac:dyDescent="0.25">
      <c r="J576" s="291" t="str">
        <f xml:space="preserve"> _xll.EPMOlapMemberO("[COSTCENTER].[PARENTH1].[1001]","","1001","","000")</f>
        <v>1001</v>
      </c>
      <c r="K576" s="299" t="str">
        <f xml:space="preserve"> _xll.EPMOlapMemberO("[C_ACCOUNT].[PARENTH1].[A_6790270]","","A_6790270","","000")</f>
        <v>A_6790270</v>
      </c>
      <c r="L576" s="293" t="str">
        <f>_xll.EPMMemberDesc(K576)</f>
        <v>Transfer Agent</v>
      </c>
      <c r="M576" s="293">
        <v>0</v>
      </c>
      <c r="N576" s="293">
        <v>0</v>
      </c>
      <c r="O576" s="293">
        <v>0</v>
      </c>
      <c r="P576" s="293">
        <v>6500</v>
      </c>
      <c r="Q576" s="293">
        <v>6500</v>
      </c>
      <c r="R576" s="293">
        <v>6500</v>
      </c>
      <c r="S576" s="293">
        <v>6500</v>
      </c>
      <c r="T576" s="293">
        <v>6500</v>
      </c>
      <c r="U576" s="293">
        <v>6500</v>
      </c>
      <c r="V576" s="293">
        <v>6500</v>
      </c>
      <c r="W576" s="293">
        <v>6500</v>
      </c>
      <c r="X576" s="293">
        <v>6500</v>
      </c>
      <c r="Y576" s="293">
        <v>6500</v>
      </c>
      <c r="Z576" s="293">
        <v>6500</v>
      </c>
      <c r="AA576" s="293">
        <v>6500</v>
      </c>
      <c r="AB576" s="293">
        <v>78000</v>
      </c>
    </row>
    <row r="577" spans="10:28" ht="15" customHeight="1" x14ac:dyDescent="0.25">
      <c r="J577" s="291" t="str">
        <f xml:space="preserve"> _xll.EPMOlapMemberO("[COSTCENTER].[PARENTH1].[1001]","","1001","","000")</f>
        <v>1001</v>
      </c>
      <c r="K577" s="299" t="str">
        <f xml:space="preserve"> _xll.EPMOlapMemberO("[C_ACCOUNT].[PARENTH1].[A_6790300]","","A_6790300","","000")</f>
        <v>A_6790300</v>
      </c>
      <c r="L577" s="293" t="str">
        <f>_xll.EPMMemberDesc(K577)</f>
        <v>Cash Discount Taken</v>
      </c>
      <c r="M577" s="293">
        <v>0</v>
      </c>
      <c r="N577" s="293">
        <v>0</v>
      </c>
      <c r="O577" s="293">
        <v>0</v>
      </c>
      <c r="P577" s="293">
        <v>-2500</v>
      </c>
      <c r="Q577" s="293">
        <v>-2500</v>
      </c>
      <c r="R577" s="293">
        <v>-2500</v>
      </c>
      <c r="S577" s="293">
        <v>-2500</v>
      </c>
      <c r="T577" s="293">
        <v>-2500</v>
      </c>
      <c r="U577" s="293">
        <v>-2500</v>
      </c>
      <c r="V577" s="293">
        <v>-2500</v>
      </c>
      <c r="W577" s="293">
        <v>-2500</v>
      </c>
      <c r="X577" s="293">
        <v>-2500</v>
      </c>
      <c r="Y577" s="293">
        <v>-2500</v>
      </c>
      <c r="Z577" s="293">
        <v>-2500</v>
      </c>
      <c r="AA577" s="293">
        <v>-2500</v>
      </c>
      <c r="AB577" s="293">
        <v>-30000</v>
      </c>
    </row>
    <row r="578" spans="10:28" ht="15" customHeight="1" x14ac:dyDescent="0.25">
      <c r="J578" s="291" t="str">
        <f xml:space="preserve"> _xll.EPMOlapMemberO("[COSTCENTER].[PARENTH1].[1001]","","1001","","000")</f>
        <v>1001</v>
      </c>
      <c r="K578" s="299" t="str">
        <f xml:space="preserve"> _xll.EPMOlapMemberO("[C_ACCOUNT].[PARENTH1].[A_6790310]","","A_6790310","","000")</f>
        <v>A_6790310</v>
      </c>
      <c r="L578" s="293" t="str">
        <f>_xll.EPMMemberDesc(K578)</f>
        <v>A&amp;G Allocated to Capital</v>
      </c>
      <c r="M578" s="293">
        <v>0</v>
      </c>
      <c r="N578" s="293">
        <v>0</v>
      </c>
      <c r="O578" s="293">
        <v>0</v>
      </c>
      <c r="P578" s="293">
        <v>-2083333.33</v>
      </c>
      <c r="Q578" s="293">
        <v>-2083333.33</v>
      </c>
      <c r="R578" s="293">
        <v>-2083333.33</v>
      </c>
      <c r="S578" s="293">
        <v>-2083333.33</v>
      </c>
      <c r="T578" s="293">
        <v>-2083333.33</v>
      </c>
      <c r="U578" s="293">
        <v>-2083333.33</v>
      </c>
      <c r="V578" s="293">
        <v>-2083333.33</v>
      </c>
      <c r="W578" s="293">
        <v>-2083333.33</v>
      </c>
      <c r="X578" s="293">
        <v>-2083333.33</v>
      </c>
      <c r="Y578" s="293">
        <v>-2083333.33</v>
      </c>
      <c r="Z578" s="293">
        <v>-2083333.33</v>
      </c>
      <c r="AA578" s="293">
        <v>-2083333.37</v>
      </c>
      <c r="AB578" s="293">
        <v>-25000000</v>
      </c>
    </row>
    <row r="579" spans="10:28" ht="15" customHeight="1" x14ac:dyDescent="0.25">
      <c r="J579" s="291" t="str">
        <f xml:space="preserve"> _xll.EPMOlapMemberO("[COSTCENTER].[PARENTH1].[1001]","","1001","","000")</f>
        <v>1001</v>
      </c>
      <c r="K579" s="299" t="str">
        <f xml:space="preserve"> _xll.EPMOlapMemberO("[C_ACCOUNT].[PARENTH1].[A_6790320]","","A_6790320","","000")</f>
        <v>A_6790320</v>
      </c>
      <c r="L579" s="293" t="str">
        <f>_xll.EPMMemberDesc(K579)</f>
        <v>Fleet Allocation</v>
      </c>
      <c r="M579" s="293">
        <v>0</v>
      </c>
      <c r="N579" s="293">
        <v>0</v>
      </c>
      <c r="O579" s="293">
        <v>0</v>
      </c>
      <c r="P579" s="293">
        <v>127500</v>
      </c>
      <c r="Q579" s="293">
        <v>127500</v>
      </c>
      <c r="R579" s="293">
        <v>144500</v>
      </c>
      <c r="S579" s="293">
        <v>144500</v>
      </c>
      <c r="T579" s="293">
        <v>141100</v>
      </c>
      <c r="U579" s="293">
        <v>142800</v>
      </c>
      <c r="V579" s="293">
        <v>139400</v>
      </c>
      <c r="W579" s="293">
        <v>144500</v>
      </c>
      <c r="X579" s="293">
        <v>141100</v>
      </c>
      <c r="Y579" s="293">
        <v>147900</v>
      </c>
      <c r="Z579" s="293">
        <v>147900</v>
      </c>
      <c r="AA579" s="293">
        <v>151300</v>
      </c>
      <c r="AB579" s="293">
        <v>1700000</v>
      </c>
    </row>
    <row r="580" spans="10:28" ht="15" customHeight="1" x14ac:dyDescent="0.25">
      <c r="J580" s="291" t="str">
        <f xml:space="preserve"> _xll.EPMOlapMemberO("[COSTCENTER].[PARENTH1].[1001]","","1001","","000")</f>
        <v>1001</v>
      </c>
      <c r="K580" s="299" t="str">
        <f xml:space="preserve"> _xll.EPMOlapMemberO("[C_ACCOUNT].[PARENTH1].[A_6790321]","","A_6790321","","000")</f>
        <v>A_6790321</v>
      </c>
      <c r="L580" s="293" t="str">
        <f>_xll.EPMMemberDesc(K580)</f>
        <v>Stores Allocation</v>
      </c>
      <c r="M580" s="293">
        <v>0</v>
      </c>
      <c r="N580" s="293">
        <v>0</v>
      </c>
      <c r="O580" s="293">
        <v>0</v>
      </c>
      <c r="P580" s="293">
        <v>20227.2</v>
      </c>
      <c r="Q580" s="293">
        <v>35227.199999999997</v>
      </c>
      <c r="R580" s="293">
        <v>37377.199999999997</v>
      </c>
      <c r="S580" s="293">
        <v>22377.200000000001</v>
      </c>
      <c r="T580" s="293">
        <v>21947.200000000001</v>
      </c>
      <c r="U580" s="293">
        <v>22162.2</v>
      </c>
      <c r="V580" s="293">
        <v>21732.2</v>
      </c>
      <c r="W580" s="293">
        <v>22377.200000000001</v>
      </c>
      <c r="X580" s="293">
        <v>21947.200000000001</v>
      </c>
      <c r="Y580" s="293">
        <v>22807.200000000001</v>
      </c>
      <c r="Z580" s="293">
        <v>37807.199999999997</v>
      </c>
      <c r="AA580" s="293">
        <v>38237.199999999997</v>
      </c>
      <c r="AB580" s="293">
        <v>324226.40000000002</v>
      </c>
    </row>
    <row r="581" spans="10:28" ht="15" customHeight="1" x14ac:dyDescent="0.25">
      <c r="J581" s="291" t="str">
        <f xml:space="preserve"> _xll.EPMOlapMemberO("[COSTCENTER].[PARENTH1].[1001]","","1001","","000")</f>
        <v>1001</v>
      </c>
      <c r="K581" s="299" t="str">
        <f xml:space="preserve"> _xll.EPMOlapMemberO("[C_ACCOUNT].[PARENTH1].[A_6790323]","","A_6790323","","000")</f>
        <v>A_6790323</v>
      </c>
      <c r="L581" s="293" t="str">
        <f>_xll.EPMMemberDesc(K581)</f>
        <v>Self Help Alloc</v>
      </c>
      <c r="M581" s="293">
        <v>0</v>
      </c>
      <c r="N581" s="293">
        <v>0</v>
      </c>
      <c r="O581" s="293">
        <v>0</v>
      </c>
      <c r="P581" s="293">
        <v>3000</v>
      </c>
      <c r="Q581" s="293">
        <v>8000</v>
      </c>
      <c r="R581" s="293">
        <v>8000</v>
      </c>
      <c r="S581" s="293">
        <v>3000</v>
      </c>
      <c r="T581" s="293">
        <v>3000</v>
      </c>
      <c r="U581" s="293">
        <v>3000</v>
      </c>
      <c r="V581" s="293">
        <v>3000</v>
      </c>
      <c r="W581" s="293">
        <v>3000</v>
      </c>
      <c r="X581" s="293">
        <v>3000</v>
      </c>
      <c r="Y581" s="293">
        <v>3000</v>
      </c>
      <c r="Z581" s="293">
        <v>8000</v>
      </c>
      <c r="AA581" s="293">
        <v>8000</v>
      </c>
      <c r="AB581" s="293">
        <v>56000</v>
      </c>
    </row>
    <row r="582" spans="10:28" ht="15" customHeight="1" x14ac:dyDescent="0.25">
      <c r="J582" s="291" t="str">
        <f xml:space="preserve"> _xll.EPMOlapMemberO("[COSTCENTER].[PARENTH1].[1001]","","1001","","000")</f>
        <v>1001</v>
      </c>
      <c r="K582" s="299" t="str">
        <f xml:space="preserve"> _xll.EPMOlapMemberO("[C_ACCOUNT].[PARENTH1].[A_6790324]","","A_6790324","","000")</f>
        <v>A_6790324</v>
      </c>
      <c r="L582" s="293" t="str">
        <f>_xll.EPMMemberDesc(K582)</f>
        <v>E&amp;S Allocation</v>
      </c>
      <c r="M582" s="293">
        <v>0</v>
      </c>
      <c r="N582" s="293">
        <v>0</v>
      </c>
      <c r="O582" s="293">
        <v>0</v>
      </c>
      <c r="P582" s="293">
        <v>150</v>
      </c>
      <c r="Q582" s="293">
        <v>150</v>
      </c>
      <c r="R582" s="293">
        <v>170</v>
      </c>
      <c r="S582" s="293">
        <v>170</v>
      </c>
      <c r="T582" s="293">
        <v>166</v>
      </c>
      <c r="U582" s="293">
        <v>168</v>
      </c>
      <c r="V582" s="293">
        <v>164</v>
      </c>
      <c r="W582" s="293">
        <v>170</v>
      </c>
      <c r="X582" s="293">
        <v>166</v>
      </c>
      <c r="Y582" s="293">
        <v>174</v>
      </c>
      <c r="Z582" s="293">
        <v>174</v>
      </c>
      <c r="AA582" s="293">
        <v>178</v>
      </c>
      <c r="AB582" s="293">
        <v>2000</v>
      </c>
    </row>
    <row r="583" spans="10:28" ht="15" customHeight="1" x14ac:dyDescent="0.25">
      <c r="J583" s="291" t="str">
        <f xml:space="preserve"> _xll.EPMOlapMemberO("[COSTCENTER].[PARENTH1].[1001]","","1001","","000")</f>
        <v>1001</v>
      </c>
      <c r="K583" s="299" t="str">
        <f xml:space="preserve"> _xll.EPMOlapMemberO("[C_ACCOUNT].[PARENTH1].[A_6790703]","","A_6790703","","000")</f>
        <v>A_6790703</v>
      </c>
      <c r="L583" s="293" t="str">
        <f>_xll.EPMMemberDesc(K583)</f>
        <v>Intercompany Standard Labor</v>
      </c>
      <c r="M583" s="293">
        <v>0</v>
      </c>
      <c r="N583" s="293">
        <v>0</v>
      </c>
      <c r="O583" s="293">
        <v>0</v>
      </c>
      <c r="P583" s="293">
        <v>0</v>
      </c>
      <c r="Q583" s="293">
        <v>0</v>
      </c>
      <c r="R583" s="293">
        <v>0</v>
      </c>
      <c r="S583" s="293">
        <v>0</v>
      </c>
      <c r="T583" s="293">
        <v>0</v>
      </c>
      <c r="U583" s="293">
        <v>250</v>
      </c>
      <c r="V583" s="293">
        <v>0</v>
      </c>
      <c r="W583" s="293">
        <v>0</v>
      </c>
      <c r="X583" s="293">
        <v>0</v>
      </c>
      <c r="Y583" s="293">
        <v>0</v>
      </c>
      <c r="Z583" s="293">
        <v>0</v>
      </c>
      <c r="AA583" s="293">
        <v>250</v>
      </c>
      <c r="AB583" s="293">
        <v>500</v>
      </c>
    </row>
    <row r="584" spans="10:28" ht="15" customHeight="1" x14ac:dyDescent="0.25">
      <c r="J584" s="291" t="str">
        <f xml:space="preserve"> _xll.EPMOlapMemberO("[COSTCENTER].[PARENTH1].[1001]","","1001","","000")</f>
        <v>1001</v>
      </c>
      <c r="K584" s="299" t="str">
        <f xml:space="preserve"> _xll.EPMOlapMemberO("[C_ACCOUNT].[PARENTH1].[A_6790704]","","A_6790704","","000")</f>
        <v>A_6790704</v>
      </c>
      <c r="L584" s="293" t="str">
        <f>_xll.EPMMemberDesc(K584)</f>
        <v>Intercompany Support Services</v>
      </c>
      <c r="M584" s="293">
        <v>0</v>
      </c>
      <c r="N584" s="293">
        <v>0</v>
      </c>
      <c r="O584" s="293">
        <v>0</v>
      </c>
      <c r="P584" s="293">
        <v>903218.70705500001</v>
      </c>
      <c r="Q584" s="293">
        <v>903218.70705500001</v>
      </c>
      <c r="R584" s="293">
        <v>1470865.6255735001</v>
      </c>
      <c r="S584" s="293">
        <v>903218.70705500001</v>
      </c>
      <c r="T584" s="293">
        <v>903218.70705500001</v>
      </c>
      <c r="U584" s="293">
        <v>1470865.6255735001</v>
      </c>
      <c r="V584" s="293">
        <v>903218.70705500001</v>
      </c>
      <c r="W584" s="293">
        <v>903218.70705500001</v>
      </c>
      <c r="X584" s="293">
        <v>1470865.6255735001</v>
      </c>
      <c r="Y584" s="293">
        <v>903218.70705500001</v>
      </c>
      <c r="Z584" s="293">
        <v>903218.70705500001</v>
      </c>
      <c r="AA584" s="293">
        <v>1470865.6255735001</v>
      </c>
      <c r="AB584" s="293">
        <v>13109212.158733999</v>
      </c>
    </row>
    <row r="585" spans="10:28" ht="15" customHeight="1" x14ac:dyDescent="0.25">
      <c r="J585" s="291" t="str">
        <f xml:space="preserve"> _xll.EPMOlapMemberO("[COSTCENTER].[PARENTH1].[1001]","","1001","","000")</f>
        <v>1001</v>
      </c>
      <c r="K585" s="299" t="str">
        <f xml:space="preserve"> _xll.EPMOlapMemberO("[C_ACCOUNT].[PARENTH1].[A_6790705]","","A_6790705","","000")</f>
        <v>A_6790705</v>
      </c>
      <c r="L585" s="293" t="str">
        <f>_xll.EPMMemberDesc(K585)</f>
        <v>Intercompany Print Shop Charges</v>
      </c>
      <c r="M585" s="293">
        <v>0</v>
      </c>
      <c r="N585" s="293">
        <v>0</v>
      </c>
      <c r="O585" s="293">
        <v>0</v>
      </c>
      <c r="P585" s="293">
        <v>0</v>
      </c>
      <c r="Q585" s="293">
        <v>0</v>
      </c>
      <c r="R585" s="293">
        <v>0</v>
      </c>
      <c r="S585" s="293">
        <v>0</v>
      </c>
      <c r="T585" s="293">
        <v>0</v>
      </c>
      <c r="U585" s="293">
        <v>51.1</v>
      </c>
      <c r="V585" s="293">
        <v>0</v>
      </c>
      <c r="W585" s="293">
        <v>0</v>
      </c>
      <c r="X585" s="293">
        <v>0</v>
      </c>
      <c r="Y585" s="293">
        <v>0</v>
      </c>
      <c r="Z585" s="293">
        <v>0</v>
      </c>
      <c r="AA585" s="293">
        <v>48.9</v>
      </c>
      <c r="AB585" s="293">
        <v>100</v>
      </c>
    </row>
    <row r="586" spans="10:28" ht="15" customHeight="1" x14ac:dyDescent="0.25">
      <c r="J586" s="291" t="str">
        <f xml:space="preserve"> _xll.EPMOlapMemberO("[COSTCENTER].[PARENTH1].[1001]","","1001","","000")</f>
        <v>1001</v>
      </c>
      <c r="K586" s="299" t="str">
        <f xml:space="preserve"> _xll.EPMOlapMemberO("[C_ACCOUNT].[PARENTH1].[A_6790800]","","A_6790800","","000")</f>
        <v>A_6790800</v>
      </c>
      <c r="L586" s="293" t="str">
        <f>_xll.EPMMemberDesc(K586)</f>
        <v>Other Operational Expense - Miscellaneous</v>
      </c>
      <c r="M586" s="293">
        <v>0</v>
      </c>
      <c r="N586" s="293">
        <v>0</v>
      </c>
      <c r="O586" s="293">
        <v>0</v>
      </c>
      <c r="P586" s="293">
        <v>244498.7519954</v>
      </c>
      <c r="Q586" s="293">
        <v>182156.6970711</v>
      </c>
      <c r="R586" s="293">
        <v>242349.285462</v>
      </c>
      <c r="S586" s="293">
        <v>191530.0038027</v>
      </c>
      <c r="T586" s="293">
        <v>195887.39448640001</v>
      </c>
      <c r="U586" s="293">
        <v>18639.9534695</v>
      </c>
      <c r="V586" s="293">
        <v>222251.31919839999</v>
      </c>
      <c r="W586" s="293">
        <v>199675.10771750001</v>
      </c>
      <c r="X586" s="293">
        <v>231561.3225712</v>
      </c>
      <c r="Y586" s="293">
        <v>226734.86704720001</v>
      </c>
      <c r="Z586" s="293">
        <v>216891.21484510001</v>
      </c>
      <c r="AA586" s="293">
        <v>222214.60610850001</v>
      </c>
      <c r="AB586" s="293">
        <v>2394390.5237750001</v>
      </c>
    </row>
    <row r="587" spans="10:28" ht="15" customHeight="1" x14ac:dyDescent="0.25">
      <c r="J587" s="291" t="str">
        <f xml:space="preserve"> _xll.EPMOlapMemberO("[COSTCENTER].[PARENTH1].[1001]","","1001","","000")</f>
        <v>1001</v>
      </c>
      <c r="K587" s="299" t="str">
        <f xml:space="preserve"> _xll.EPMOlapMemberO("[C_ACCOUNT].[PARENTH1].[A_6798999]","","A_6798999","","000")</f>
        <v>A_6798999</v>
      </c>
      <c r="L587" s="293" t="str">
        <f>_xll.EPMMemberDesc(K587)</f>
        <v>Other Operational Expense Reclass</v>
      </c>
      <c r="M587" s="293">
        <v>0</v>
      </c>
      <c r="N587" s="293">
        <v>0</v>
      </c>
      <c r="O587" s="293">
        <v>0</v>
      </c>
      <c r="P587" s="293">
        <v>-22479.8236192</v>
      </c>
      <c r="Q587" s="293">
        <v>-25601.198961499998</v>
      </c>
      <c r="R587" s="293">
        <v>-25579.835924200001</v>
      </c>
      <c r="S587" s="293">
        <v>-25558.375338900001</v>
      </c>
      <c r="T587" s="293">
        <v>-25537.1098499</v>
      </c>
      <c r="U587" s="293">
        <v>-25515.7468128</v>
      </c>
      <c r="V587" s="293">
        <v>-25494.383775499999</v>
      </c>
      <c r="W587" s="293">
        <v>-25472.9231903</v>
      </c>
      <c r="X587" s="293">
        <v>-25363.8643978</v>
      </c>
      <c r="Y587" s="293">
        <v>-25103.606027000002</v>
      </c>
      <c r="Z587" s="293">
        <v>-24219.5274613</v>
      </c>
      <c r="AA587" s="293">
        <v>-21964.738602900001</v>
      </c>
      <c r="AB587" s="293">
        <v>-297891.13396130002</v>
      </c>
    </row>
    <row r="588" spans="10:28" ht="15" customHeight="1" x14ac:dyDescent="0.25">
      <c r="J588" s="291" t="str">
        <f xml:space="preserve"> _xll.EPMOlapMemberO("[COSTCENTER].[PARENTH1].[1001]","","1001","","000")</f>
        <v>1001</v>
      </c>
      <c r="K588" s="299" t="str">
        <f xml:space="preserve"> _xll.EPMOlapMemberO("[C_ACCOUNT].[PARENTH1].[A_A1000201]","","A_A1000201","","000")</f>
        <v>A_A1000201</v>
      </c>
      <c r="L588" s="293" t="str">
        <f>_xll.EPMMemberDesc(K588)</f>
        <v>Assessed Small Tools Clearing Charges</v>
      </c>
      <c r="M588" s="293">
        <v>0</v>
      </c>
      <c r="N588" s="293">
        <v>0</v>
      </c>
      <c r="O588" s="293">
        <v>0</v>
      </c>
      <c r="P588" s="293">
        <v>96630.684622100001</v>
      </c>
      <c r="Q588" s="293">
        <v>96630.684622100001</v>
      </c>
      <c r="R588" s="293">
        <v>96630.684622100001</v>
      </c>
      <c r="S588" s="293">
        <v>96630.684622100001</v>
      </c>
      <c r="T588" s="293">
        <v>96630.684622100001</v>
      </c>
      <c r="U588" s="293">
        <v>96630.684622100001</v>
      </c>
      <c r="V588" s="293">
        <v>96630.684622100001</v>
      </c>
      <c r="W588" s="293">
        <v>96630.684622100001</v>
      </c>
      <c r="X588" s="293">
        <v>96630.684622100001</v>
      </c>
      <c r="Y588" s="293">
        <v>96630.684622100001</v>
      </c>
      <c r="Z588" s="293">
        <v>96630.684622100001</v>
      </c>
      <c r="AA588" s="293">
        <v>96630.684622100001</v>
      </c>
      <c r="AB588" s="293">
        <v>1159568.2154651999</v>
      </c>
    </row>
    <row r="589" spans="10:28" ht="15" customHeight="1" x14ac:dyDescent="0.25">
      <c r="J589" s="291" t="str">
        <f xml:space="preserve"> _xll.EPMOlapMemberO("[COSTCENTER].[PARENTH1].[1001]","","1001","","000")</f>
        <v>1001</v>
      </c>
      <c r="K589" s="299" t="str">
        <f xml:space="preserve"> _xll.EPMOlapMemberO("[C_ACCOUNT].[PARENTH1].[A_A1000300]","","A_A1000300","","000")</f>
        <v>A_A1000300</v>
      </c>
      <c r="L589" s="293" t="str">
        <f>_xll.EPMMemberDesc(K589)</f>
        <v>Assessed Stores Clearing Charges</v>
      </c>
      <c r="M589" s="293">
        <v>0</v>
      </c>
      <c r="N589" s="293">
        <v>0</v>
      </c>
      <c r="O589" s="293">
        <v>0</v>
      </c>
      <c r="P589" s="293">
        <v>13777.305247599999</v>
      </c>
      <c r="Q589" s="293">
        <v>13777.305247599999</v>
      </c>
      <c r="R589" s="293">
        <v>13777.305247599999</v>
      </c>
      <c r="S589" s="293">
        <v>13777.305247599999</v>
      </c>
      <c r="T589" s="293">
        <v>13777.305247599999</v>
      </c>
      <c r="U589" s="293">
        <v>13777.305247599999</v>
      </c>
      <c r="V589" s="293">
        <v>13777.305247599999</v>
      </c>
      <c r="W589" s="293">
        <v>13777.305247599999</v>
      </c>
      <c r="X589" s="293">
        <v>13777.305247599999</v>
      </c>
      <c r="Y589" s="293">
        <v>13777.305247599999</v>
      </c>
      <c r="Z589" s="293">
        <v>13777.305247599999</v>
      </c>
      <c r="AA589" s="293">
        <v>13777.305247599999</v>
      </c>
      <c r="AB589" s="293">
        <v>165327.66297120001</v>
      </c>
    </row>
    <row r="590" spans="10:28" ht="15" customHeight="1" x14ac:dyDescent="0.25">
      <c r="J590" s="291" t="str">
        <f xml:space="preserve"> _xll.EPMOlapMemberO("[COSTCENTER].[PARENTH1].[1001]","","1001","","000")</f>
        <v>1001</v>
      </c>
      <c r="K590" s="299" t="str">
        <f xml:space="preserve"> _xll.EPMOlapMemberO("[C_ACCOUNT].[PARENTH1].[A_A1000301]","","A_A1000301","","000")</f>
        <v>A_A1000301</v>
      </c>
      <c r="L590" s="293" t="str">
        <f>_xll.EPMMemberDesc(K590)</f>
        <v>Assessed Self Help Charges</v>
      </c>
      <c r="M590" s="293">
        <v>0</v>
      </c>
      <c r="N590" s="293">
        <v>0</v>
      </c>
      <c r="O590" s="293">
        <v>0</v>
      </c>
      <c r="P590" s="293">
        <v>4004.7803125</v>
      </c>
      <c r="Q590" s="293">
        <v>4004.7803125</v>
      </c>
      <c r="R590" s="293">
        <v>4004.7803125</v>
      </c>
      <c r="S590" s="293">
        <v>4004.7803125</v>
      </c>
      <c r="T590" s="293">
        <v>4004.7803125</v>
      </c>
      <c r="U590" s="293">
        <v>4004.7803125</v>
      </c>
      <c r="V590" s="293">
        <v>4004.7803125</v>
      </c>
      <c r="W590" s="293">
        <v>4004.7803125</v>
      </c>
      <c r="X590" s="293">
        <v>4004.7803125</v>
      </c>
      <c r="Y590" s="293">
        <v>4004.7803125</v>
      </c>
      <c r="Z590" s="293">
        <v>4004.7803125</v>
      </c>
      <c r="AA590" s="293">
        <v>4004.7803125</v>
      </c>
      <c r="AB590" s="293">
        <v>48057.363749999997</v>
      </c>
    </row>
    <row r="591" spans="10:28" ht="15" customHeight="1" x14ac:dyDescent="0.25">
      <c r="J591" s="291" t="str">
        <f xml:space="preserve"> _xll.EPMOlapMemberO("[COSTCENTER].[PARENTH1].[1001]","","1001","","000")</f>
        <v>1001</v>
      </c>
      <c r="K591" s="299" t="str">
        <f xml:space="preserve"> _xll.EPMOlapMemberO("[C_ACCOUNT].[PARENTH1].[A_C1010003]","","A_C1010003","","000")</f>
        <v>A_C1010003</v>
      </c>
      <c r="L591" s="293" t="str">
        <f>_xll.EPMMemberDesc(K591)</f>
        <v>TSI A&amp;G Adder</v>
      </c>
      <c r="M591" s="293">
        <v>0</v>
      </c>
      <c r="N591" s="293">
        <v>0</v>
      </c>
      <c r="O591" s="293">
        <v>0</v>
      </c>
      <c r="P591" s="293">
        <v>-20000</v>
      </c>
      <c r="Q591" s="293">
        <v>-20000</v>
      </c>
      <c r="R591" s="293">
        <v>-20000</v>
      </c>
      <c r="S591" s="293">
        <v>-20000</v>
      </c>
      <c r="T591" s="293">
        <v>-20000</v>
      </c>
      <c r="U591" s="293">
        <v>-20000</v>
      </c>
      <c r="V591" s="293">
        <v>-20000</v>
      </c>
      <c r="W591" s="293">
        <v>-20000</v>
      </c>
      <c r="X591" s="293">
        <v>-20000</v>
      </c>
      <c r="Y591" s="293">
        <v>-20000</v>
      </c>
      <c r="Z591" s="293">
        <v>-20000</v>
      </c>
      <c r="AA591" s="293">
        <v>-20000</v>
      </c>
      <c r="AB591" s="293">
        <v>-240000</v>
      </c>
    </row>
    <row r="592" spans="10:28" ht="15" customHeight="1" x14ac:dyDescent="0.25">
      <c r="J592" s="291" t="str">
        <f xml:space="preserve"> _xll.EPMOlapMemberO("[COSTCENTER].[PARENTH1].[1001]","","1001","","000")</f>
        <v>1001</v>
      </c>
      <c r="K592" s="299" t="str">
        <f xml:space="preserve"> _xll.EPMOlapMemberO("[C_ACCOUNT].[PARENTH1].[A_P1000000]","","A_P1000000","","000")</f>
        <v>A_P1000000</v>
      </c>
      <c r="L592" s="293" t="str">
        <f>_xll.EPMMemberDesc(K592)</f>
        <v>Planned Corporate Overhead Allocation</v>
      </c>
      <c r="M592" s="293">
        <v>0</v>
      </c>
      <c r="N592" s="293">
        <v>0</v>
      </c>
      <c r="O592" s="293">
        <v>0</v>
      </c>
      <c r="P592" s="293">
        <v>-455584.85599230003</v>
      </c>
      <c r="Q592" s="293">
        <v>-467925.88368740003</v>
      </c>
      <c r="R592" s="293">
        <v>-592669.22069860005</v>
      </c>
      <c r="S592" s="293">
        <v>-445255.80382249999</v>
      </c>
      <c r="T592" s="293">
        <v>-433922.44369400002</v>
      </c>
      <c r="U592" s="293">
        <v>-613032.54574269999</v>
      </c>
      <c r="V592" s="293">
        <v>-440222.5437946</v>
      </c>
      <c r="W592" s="293">
        <v>-430201.55834719999</v>
      </c>
      <c r="X592" s="293">
        <v>-607751.17340890004</v>
      </c>
      <c r="Y592" s="293">
        <v>-434284.29959459999</v>
      </c>
      <c r="Z592" s="293">
        <v>-442990.63797049999</v>
      </c>
      <c r="AA592" s="293">
        <v>-603351.12403129996</v>
      </c>
      <c r="AB592" s="293">
        <v>-5967192.0907846</v>
      </c>
    </row>
    <row r="593" spans="10:28" ht="15" customHeight="1" x14ac:dyDescent="0.25">
      <c r="J593" s="291" t="str">
        <f xml:space="preserve"> _xll.EPMOlapMemberO("[COSTCENTER].[PARENTH1].[1001]","","1001","","000")</f>
        <v>1001</v>
      </c>
      <c r="K593" s="299" t="str">
        <f xml:space="preserve"> _xll.EPMOlapMemberO("[C_ACCOUNT].[PARENTH1].[A_P1000100]","","A_P1000100","","000")</f>
        <v>A_P1000100</v>
      </c>
      <c r="L593" s="293" t="str">
        <f>_xll.EPMMemberDesc(K593)</f>
        <v>Planned IT Charges</v>
      </c>
      <c r="M593" s="293">
        <v>0</v>
      </c>
      <c r="N593" s="293">
        <v>0</v>
      </c>
      <c r="O593" s="293">
        <v>0</v>
      </c>
      <c r="P593" s="293">
        <v>-917180.46555309999</v>
      </c>
      <c r="Q593" s="293">
        <v>-853851.93857560004</v>
      </c>
      <c r="R593" s="293">
        <v>-936919.46696310001</v>
      </c>
      <c r="S593" s="293">
        <v>-867806.56609019998</v>
      </c>
      <c r="T593" s="293">
        <v>-831898.39154999994</v>
      </c>
      <c r="U593" s="293">
        <v>-920834.31305470003</v>
      </c>
      <c r="V593" s="293">
        <v>-887505.03997190006</v>
      </c>
      <c r="W593" s="293">
        <v>-862235.68407910003</v>
      </c>
      <c r="X593" s="293">
        <v>-894777.40250600001</v>
      </c>
      <c r="Y593" s="293">
        <v>-841343.26904809999</v>
      </c>
      <c r="Z593" s="293">
        <v>-891729.74390170001</v>
      </c>
      <c r="AA593" s="293">
        <v>-954013.11669739999</v>
      </c>
      <c r="AB593" s="293">
        <v>-10660095.397990899</v>
      </c>
    </row>
    <row r="594" spans="10:28" ht="15" customHeight="1" x14ac:dyDescent="0.25">
      <c r="J594" s="291" t="str">
        <f xml:space="preserve"> _xll.EPMOlapMemberO("[COSTCENTER].[PARENTH1].[1001]","","1001","","000")</f>
        <v>1001</v>
      </c>
      <c r="K594" s="299" t="str">
        <f xml:space="preserve"> _xll.EPMOlapMemberO("[C_ACCOUNT].[PARENTH1].[A_P1000101]","","A_P1000101","","000")</f>
        <v>A_P1000101</v>
      </c>
      <c r="L594" s="293" t="str">
        <f>_xll.EPMMemberDesc(K594)</f>
        <v>Planned Facility Charges</v>
      </c>
      <c r="M594" s="293">
        <v>0</v>
      </c>
      <c r="N594" s="293">
        <v>0</v>
      </c>
      <c r="O594" s="293">
        <v>0</v>
      </c>
      <c r="P594" s="293">
        <v>-98136.1079589</v>
      </c>
      <c r="Q594" s="293">
        <v>-98136.1079589</v>
      </c>
      <c r="R594" s="293">
        <v>-98136.1079589</v>
      </c>
      <c r="S594" s="293">
        <v>-98136.1079589</v>
      </c>
      <c r="T594" s="293">
        <v>-98136.1079589</v>
      </c>
      <c r="U594" s="293">
        <v>-98136.1079589</v>
      </c>
      <c r="V594" s="293">
        <v>-98136.1079589</v>
      </c>
      <c r="W594" s="293">
        <v>-98136.1079589</v>
      </c>
      <c r="X594" s="293">
        <v>-98136.1079589</v>
      </c>
      <c r="Y594" s="293">
        <v>-98136.1079589</v>
      </c>
      <c r="Z594" s="293">
        <v>-98136.1079589</v>
      </c>
      <c r="AA594" s="293">
        <v>-98136.1079589</v>
      </c>
      <c r="AB594" s="293">
        <v>-1177633.2955068001</v>
      </c>
    </row>
    <row r="595" spans="10:28" ht="15" customHeight="1" x14ac:dyDescent="0.25">
      <c r="J595" s="291" t="str">
        <f xml:space="preserve"> _xll.EPMOlapMemberO("[COSTCENTER].[PARENTH1].[1001]","","1001","","000")</f>
        <v>1001</v>
      </c>
      <c r="K595" s="299" t="str">
        <f xml:space="preserve"> _xll.EPMOlapMemberO("[C_ACCOUNT].[PARENTH1].[A_P1000102]","","A_P1000102","","000")</f>
        <v>A_P1000102</v>
      </c>
      <c r="L595" s="293" t="str">
        <f>_xll.EPMMemberDesc(K595)</f>
        <v>Planned Telecom Charges</v>
      </c>
      <c r="M595" s="293">
        <v>0</v>
      </c>
      <c r="N595" s="293">
        <v>0</v>
      </c>
      <c r="O595" s="293">
        <v>0</v>
      </c>
      <c r="P595" s="293">
        <v>-34724.500000200002</v>
      </c>
      <c r="Q595" s="293">
        <v>-34724.500000200002</v>
      </c>
      <c r="R595" s="293">
        <v>-34724.500000200002</v>
      </c>
      <c r="S595" s="293">
        <v>-34724.500000200002</v>
      </c>
      <c r="T595" s="293">
        <v>-34724.500000200002</v>
      </c>
      <c r="U595" s="293">
        <v>-34724.500000200002</v>
      </c>
      <c r="V595" s="293">
        <v>-34724.500000200002</v>
      </c>
      <c r="W595" s="293">
        <v>-34724.500000200002</v>
      </c>
      <c r="X595" s="293">
        <v>-34724.500000200002</v>
      </c>
      <c r="Y595" s="293">
        <v>-34724.500000200002</v>
      </c>
      <c r="Z595" s="293">
        <v>-34724.500000200002</v>
      </c>
      <c r="AA595" s="293">
        <v>-34724.500000200002</v>
      </c>
      <c r="AB595" s="293">
        <v>-416694.00000240002</v>
      </c>
    </row>
    <row r="596" spans="10:28" ht="15" customHeight="1" x14ac:dyDescent="0.25">
      <c r="J596" s="291" t="str">
        <f xml:space="preserve"> _xll.EPMOlapMemberO("[COSTCENTER].[PARENTH1].[1001]","","1001","","000")</f>
        <v>1001</v>
      </c>
      <c r="K596" s="299" t="str">
        <f xml:space="preserve"> _xll.EPMOlapMemberO("[C_ACCOUNT].[PARENTH1].[A_P1000103]","","A_P1000103","","000")</f>
        <v>A_P1000103</v>
      </c>
      <c r="L596" s="293" t="str">
        <f>_xll.EPMMemberDesc(K596)</f>
        <v>Planned HR Benefits Admin</v>
      </c>
      <c r="M596" s="293">
        <v>0</v>
      </c>
      <c r="N596" s="293">
        <v>0</v>
      </c>
      <c r="O596" s="293">
        <v>0</v>
      </c>
      <c r="P596" s="293">
        <v>-104871.8226401</v>
      </c>
      <c r="Q596" s="293">
        <v>-78262.101262600001</v>
      </c>
      <c r="R596" s="293">
        <v>-87193.936185700004</v>
      </c>
      <c r="S596" s="293">
        <v>-85412.132324699996</v>
      </c>
      <c r="T596" s="293">
        <v>-81710.455926800001</v>
      </c>
      <c r="U596" s="293">
        <v>-86266.495714699995</v>
      </c>
      <c r="V596" s="293">
        <v>-88601.754853599996</v>
      </c>
      <c r="W596" s="293">
        <v>-82422.370748100002</v>
      </c>
      <c r="X596" s="293">
        <v>-85444.911666900007</v>
      </c>
      <c r="Y596" s="293">
        <v>-84751.531551199994</v>
      </c>
      <c r="Z596" s="293">
        <v>-82521.761700300005</v>
      </c>
      <c r="AA596" s="293">
        <v>-89146.258800900003</v>
      </c>
      <c r="AB596" s="293">
        <v>-1036605.5333756</v>
      </c>
    </row>
    <row r="597" spans="10:28" ht="15" customHeight="1" x14ac:dyDescent="0.25">
      <c r="J597" s="291" t="str">
        <f xml:space="preserve"> _xll.EPMOlapMemberO("[COSTCENTER].[PARENTH1].[1001]","","1001","","000")</f>
        <v>1001</v>
      </c>
      <c r="K597" s="299" t="str">
        <f xml:space="preserve"> _xll.EPMOlapMemberO("[C_ACCOUNT].[PARENTH1].[A_P1000104]","","A_P1000104","","000")</f>
        <v>A_P1000104</v>
      </c>
      <c r="L597" s="293" t="str">
        <f>_xll.EPMMemberDesc(K597)</f>
        <v>Planned TSI Services</v>
      </c>
      <c r="M597" s="293">
        <v>0</v>
      </c>
      <c r="N597" s="293">
        <v>0</v>
      </c>
      <c r="O597" s="293">
        <v>0</v>
      </c>
      <c r="P597" s="293">
        <v>-37419.081920700002</v>
      </c>
      <c r="Q597" s="293">
        <v>-34075.3479792</v>
      </c>
      <c r="R597" s="293">
        <v>-35758.132893599999</v>
      </c>
      <c r="S597" s="293">
        <v>-35316.622043299998</v>
      </c>
      <c r="T597" s="293">
        <v>-33831.381322900001</v>
      </c>
      <c r="U597" s="293">
        <v>-35084.682714100003</v>
      </c>
      <c r="V597" s="293">
        <v>-36609.560796099999</v>
      </c>
      <c r="W597" s="293">
        <v>-34591.749322900003</v>
      </c>
      <c r="X597" s="293">
        <v>-35463.799630100002</v>
      </c>
      <c r="Y597" s="293">
        <v>-35543.515630100002</v>
      </c>
      <c r="Z597" s="293">
        <v>-34136.212632100003</v>
      </c>
      <c r="AA597" s="293">
        <v>-39234.102396100003</v>
      </c>
      <c r="AB597" s="293">
        <v>-427064.1892812</v>
      </c>
    </row>
    <row r="598" spans="10:28" ht="15" customHeight="1" x14ac:dyDescent="0.25">
      <c r="J598" s="291" t="str">
        <f xml:space="preserve"> _xll.EPMOlapMemberO("[COSTCENTER].[PARENTH1].[1001]","","1001","","000")</f>
        <v>1001</v>
      </c>
      <c r="K598" s="299" t="str">
        <f xml:space="preserve"> _xll.EPMOlapMemberO("[C_ACCOUNT].[PARENTH1].[A_P1000105]","","A_P1000105","","000")</f>
        <v>A_P1000105</v>
      </c>
      <c r="L598" s="293" t="str">
        <f>_xll.EPMMemberDesc(K598)</f>
        <v>Planned Procurement Charges</v>
      </c>
      <c r="M598" s="293">
        <v>0</v>
      </c>
      <c r="N598" s="293">
        <v>0</v>
      </c>
      <c r="O598" s="293">
        <v>0</v>
      </c>
      <c r="P598" s="293">
        <v>-80504.363249899994</v>
      </c>
      <c r="Q598" s="293">
        <v>-70614.074588599993</v>
      </c>
      <c r="R598" s="293">
        <v>-80303.256077400001</v>
      </c>
      <c r="S598" s="293">
        <v>-75843.995260099997</v>
      </c>
      <c r="T598" s="293">
        <v>-72612.641213299998</v>
      </c>
      <c r="U598" s="293">
        <v>-79633.376088200006</v>
      </c>
      <c r="V598" s="293">
        <v>-78253.902106499998</v>
      </c>
      <c r="W598" s="293">
        <v>-73383.575070000006</v>
      </c>
      <c r="X598" s="293">
        <v>-78026.681088199999</v>
      </c>
      <c r="Y598" s="293">
        <v>-76487.767231399994</v>
      </c>
      <c r="Z598" s="293">
        <v>-73396.711569999999</v>
      </c>
      <c r="AA598" s="293">
        <v>-81652.134286300003</v>
      </c>
      <c r="AB598" s="293">
        <v>-920712.47782989999</v>
      </c>
    </row>
    <row r="599" spans="10:28" ht="15" customHeight="1" x14ac:dyDescent="0.25">
      <c r="J599" s="291" t="str">
        <f xml:space="preserve"> _xll.EPMOlapMemberO("[COSTCENTER].[PARENTH1].[1001]","","1001","","000")</f>
        <v>1001</v>
      </c>
      <c r="K599" s="299" t="str">
        <f xml:space="preserve"> _xll.EPMOlapMemberO("[C_ACCOUNT].[PARENTH1].[A_P6790000]","","A_P6790000","","000")</f>
        <v>A_P6790000</v>
      </c>
      <c r="L599" s="293" t="str">
        <f>_xll.EPMMemberDesc(K599)</f>
        <v>Planned Other Operational Expense</v>
      </c>
      <c r="M599" s="293">
        <v>0</v>
      </c>
      <c r="N599" s="293">
        <v>0</v>
      </c>
      <c r="O599" s="293">
        <v>0</v>
      </c>
      <c r="P599" s="293">
        <v>210</v>
      </c>
      <c r="Q599" s="293">
        <v>210</v>
      </c>
      <c r="R599" s="293">
        <v>210</v>
      </c>
      <c r="S599" s="293">
        <v>210</v>
      </c>
      <c r="T599" s="293">
        <v>210</v>
      </c>
      <c r="U599" s="293">
        <v>210</v>
      </c>
      <c r="V599" s="293">
        <v>210</v>
      </c>
      <c r="W599" s="293">
        <v>210</v>
      </c>
      <c r="X599" s="293">
        <v>210</v>
      </c>
      <c r="Y599" s="293">
        <v>210</v>
      </c>
      <c r="Z599" s="293">
        <v>210</v>
      </c>
      <c r="AA599" s="293">
        <v>210</v>
      </c>
      <c r="AB599" s="293">
        <v>2520</v>
      </c>
    </row>
    <row r="600" spans="10:28" ht="15" customHeight="1" x14ac:dyDescent="0.25">
      <c r="J600" s="291" t="str">
        <f xml:space="preserve"> _xll.EPMOlapMemberO("[COSTCENTER].[PARENTH1].[1001]","","1001","","000")</f>
        <v>1001</v>
      </c>
      <c r="K600" s="299" t="str">
        <f xml:space="preserve"> _xll.EPMOlapMemberO("[C_ACCOUNT].[PARENTH1].[A_S1000100]","","A_S1000100","","000")</f>
        <v>A_S1000100</v>
      </c>
      <c r="L600" s="293" t="str">
        <f>_xll.EPMMemberDesc(K600)</f>
        <v>Settled IT Charges</v>
      </c>
      <c r="M600" s="293">
        <v>0</v>
      </c>
      <c r="N600" s="293">
        <v>0</v>
      </c>
      <c r="O600" s="293">
        <v>0</v>
      </c>
      <c r="P600" s="293">
        <v>5269.4319999999998</v>
      </c>
      <c r="Q600" s="293">
        <v>5269.4319999999998</v>
      </c>
      <c r="R600" s="293">
        <v>5269.4319999999998</v>
      </c>
      <c r="S600" s="293">
        <v>5269.4319999999998</v>
      </c>
      <c r="T600" s="293">
        <v>5269.4319999999998</v>
      </c>
      <c r="U600" s="293">
        <v>5269.4319999999998</v>
      </c>
      <c r="V600" s="293">
        <v>5269.4319999999998</v>
      </c>
      <c r="W600" s="293">
        <v>5269.4319999999998</v>
      </c>
      <c r="X600" s="293">
        <v>5269.4319999999998</v>
      </c>
      <c r="Y600" s="293">
        <v>5269.4319999999998</v>
      </c>
      <c r="Z600" s="293">
        <v>5269.4319999999998</v>
      </c>
      <c r="AA600" s="293">
        <v>5269.4319999999998</v>
      </c>
      <c r="AB600" s="293">
        <v>63233.184000000001</v>
      </c>
    </row>
    <row r="601" spans="10:28" ht="15" customHeight="1" x14ac:dyDescent="0.25">
      <c r="J601" s="291" t="str">
        <f xml:space="preserve"> _xll.EPMOlapMemberO("[COSTCENTER].[PARENTH1].[1001]","","1001","","000")</f>
        <v>1001</v>
      </c>
      <c r="K601" s="299" t="str">
        <f xml:space="preserve"> _xll.EPMOlapMemberO("[C_ACCOUNT].[PARENTH1].[A_S1000105]","","A_S1000105","","000")</f>
        <v>A_S1000105</v>
      </c>
      <c r="L601" s="293" t="str">
        <f>_xll.EPMMemberDesc(K601)</f>
        <v>Settled Procurement Charges</v>
      </c>
      <c r="M601" s="293">
        <v>0</v>
      </c>
      <c r="N601" s="293">
        <v>0</v>
      </c>
      <c r="O601" s="293">
        <v>0</v>
      </c>
      <c r="P601" s="293">
        <v>-33856.581980700001</v>
      </c>
      <c r="Q601" s="293">
        <v>-30520.202931899999</v>
      </c>
      <c r="R601" s="293">
        <v>-34212.474086800001</v>
      </c>
      <c r="S601" s="293">
        <v>-32069.489369999999</v>
      </c>
      <c r="T601" s="293">
        <v>-30731.457734399999</v>
      </c>
      <c r="U601" s="293">
        <v>-33792.718017400002</v>
      </c>
      <c r="V601" s="293">
        <v>-32946.719350500003</v>
      </c>
      <c r="W601" s="293">
        <v>-31518.054024500001</v>
      </c>
      <c r="X601" s="293">
        <v>-33148.407604499997</v>
      </c>
      <c r="Y601" s="293">
        <v>-31907.5757552</v>
      </c>
      <c r="Z601" s="293">
        <v>-31773.019086200002</v>
      </c>
      <c r="AA601" s="293">
        <v>-34804.432883399997</v>
      </c>
      <c r="AB601" s="293">
        <v>-391281.13282549998</v>
      </c>
    </row>
    <row r="602" spans="10:28" ht="15" customHeight="1" x14ac:dyDescent="0.25">
      <c r="J602" s="291" t="str">
        <f xml:space="preserve"> _xll.EPMOlapMemberO("[COSTCENTER].[PARENTH1].[1001]","","1001","","000")</f>
        <v>1001</v>
      </c>
      <c r="K602" s="299" t="str">
        <f xml:space="preserve"> _xll.EPMOlapMemberO("[C_ACCOUNT].[PARENTH1].[A_S1000200]","","A_S1000200","","000")</f>
        <v>A_S1000200</v>
      </c>
      <c r="L602" s="293" t="str">
        <f>_xll.EPMMemberDesc(K602)</f>
        <v>Settled Fleet Charges</v>
      </c>
      <c r="M602" s="293">
        <v>0</v>
      </c>
      <c r="N602" s="293">
        <v>0</v>
      </c>
      <c r="O602" s="293">
        <v>0</v>
      </c>
      <c r="P602" s="293">
        <v>5924.1865200000002</v>
      </c>
      <c r="Q602" s="293">
        <v>5924.1865200000002</v>
      </c>
      <c r="R602" s="293">
        <v>5924.1865200000002</v>
      </c>
      <c r="S602" s="293">
        <v>5924.1865200000002</v>
      </c>
      <c r="T602" s="293">
        <v>5924.1865200000002</v>
      </c>
      <c r="U602" s="293">
        <v>5924.1865200000002</v>
      </c>
      <c r="V602" s="293">
        <v>5924.1865200000002</v>
      </c>
      <c r="W602" s="293">
        <v>5924.1865200000002</v>
      </c>
      <c r="X602" s="293">
        <v>5924.1865200000002</v>
      </c>
      <c r="Y602" s="293">
        <v>5924.1865200000002</v>
      </c>
      <c r="Z602" s="293">
        <v>5924.1865200000002</v>
      </c>
      <c r="AA602" s="293">
        <v>5924.1865200000002</v>
      </c>
      <c r="AB602" s="293">
        <v>71090.238240000006</v>
      </c>
    </row>
    <row r="603" spans="10:28" ht="15" customHeight="1" x14ac:dyDescent="0.25">
      <c r="J603" s="291" t="str">
        <f xml:space="preserve"> _xll.EPMOlapMemberO("[COSTCENTER].[PARENTH1].[1001]","","1001","","000")</f>
        <v>1001</v>
      </c>
      <c r="K603" s="299" t="str">
        <f xml:space="preserve"> _xll.EPMOlapMemberO("[C_ACCOUNT].[PARENTH1].[A_S6790000]","","A_S6790000","","000")</f>
        <v>A_S6790000</v>
      </c>
      <c r="L603" s="293" t="str">
        <f>_xll.EPMMemberDesc(K603)</f>
        <v>Settled Other Operational Expense</v>
      </c>
      <c r="M603" s="293">
        <v>0</v>
      </c>
      <c r="N603" s="293">
        <v>0</v>
      </c>
      <c r="O603" s="293">
        <v>0</v>
      </c>
      <c r="P603" s="293">
        <v>46037.975740000002</v>
      </c>
      <c r="Q603" s="293">
        <v>18154.07574</v>
      </c>
      <c r="R603" s="293">
        <v>38674.07574</v>
      </c>
      <c r="S603" s="293">
        <v>13285.175740000001</v>
      </c>
      <c r="T603" s="293">
        <v>60633.175739999999</v>
      </c>
      <c r="U603" s="293">
        <v>28577.375739999999</v>
      </c>
      <c r="V603" s="293">
        <v>13407.375739999999</v>
      </c>
      <c r="W603" s="293">
        <v>28477.375739999999</v>
      </c>
      <c r="X603" s="293">
        <v>28505.175739999999</v>
      </c>
      <c r="Y603" s="293">
        <v>15125.175740000001</v>
      </c>
      <c r="Z603" s="293">
        <v>24072.975740000002</v>
      </c>
      <c r="AA603" s="293">
        <v>28952.975740000002</v>
      </c>
      <c r="AB603" s="293">
        <v>343902.90888</v>
      </c>
    </row>
    <row r="604" spans="10:28" ht="15" customHeight="1" x14ac:dyDescent="0.25">
      <c r="J604" s="291" t="str">
        <f xml:space="preserve"> _xll.EPMOlapMemberO("[COSTCENTER].[PARENTH1].[1001]","","1001","","000")</f>
        <v>1001</v>
      </c>
      <c r="K604" s="299" t="str">
        <f xml:space="preserve"> _xll.EPMOlapMemberO("[C_ACCOUNT].[PARENTH1].[A_P1000108]","","A_P1000108","","000")</f>
        <v>A_P1000108</v>
      </c>
      <c r="L604" s="293" t="str">
        <f>_xll.EPMMemberDesc(K604)</f>
        <v>Planned SS HREmpRel Chgs</v>
      </c>
      <c r="M604" s="293">
        <v>0</v>
      </c>
      <c r="N604" s="293">
        <v>0</v>
      </c>
      <c r="O604" s="293">
        <v>0</v>
      </c>
      <c r="P604" s="293">
        <v>-61393.599847199999</v>
      </c>
      <c r="Q604" s="293">
        <v>-49577.723226800001</v>
      </c>
      <c r="R604" s="293">
        <v>-64454.622593799999</v>
      </c>
      <c r="S604" s="293">
        <v>-56884.976736999997</v>
      </c>
      <c r="T604" s="293">
        <v>-61765.406461300001</v>
      </c>
      <c r="U604" s="293">
        <v>-69804.510864199998</v>
      </c>
      <c r="V604" s="293">
        <v>-61740.103250499997</v>
      </c>
      <c r="W604" s="293">
        <v>-55943.332769699999</v>
      </c>
      <c r="X604" s="293">
        <v>-60776.3122382</v>
      </c>
      <c r="Y604" s="293">
        <v>-65937.922999699993</v>
      </c>
      <c r="Z604" s="293">
        <v>-52701.080569700003</v>
      </c>
      <c r="AA604" s="293">
        <v>-63850.177874300003</v>
      </c>
      <c r="AB604" s="293">
        <v>-724829.7694324</v>
      </c>
    </row>
    <row r="605" spans="10:28" ht="15" customHeight="1" x14ac:dyDescent="0.25">
      <c r="J605" s="291" t="str">
        <f xml:space="preserve"> _xll.EPMOlapMemberO("[COSTCENTER].[PARENTH1].[1001]","","1001","","000")</f>
        <v>1001</v>
      </c>
      <c r="K605" s="299" t="str">
        <f xml:space="preserve"> _xll.EPMOlapMemberO("[C_ACCOUNT].[PARENTH1].[A_P1000109]","","A_P1000109","","000")</f>
        <v>A_P1000109</v>
      </c>
      <c r="L605" s="293" t="str">
        <f>_xll.EPMMemberDesc(K605)</f>
        <v>Planned SS EmerMgmt Chgs</v>
      </c>
      <c r="M605" s="293">
        <v>0</v>
      </c>
      <c r="N605" s="293">
        <v>0</v>
      </c>
      <c r="O605" s="293">
        <v>0</v>
      </c>
      <c r="P605" s="293">
        <v>-78128.863878100005</v>
      </c>
      <c r="Q605" s="293">
        <v>-20240.551708200001</v>
      </c>
      <c r="R605" s="293">
        <v>-22105.7809008</v>
      </c>
      <c r="S605" s="293">
        <v>-21863.954036399999</v>
      </c>
      <c r="T605" s="293">
        <v>-24212.873551000001</v>
      </c>
      <c r="U605" s="293">
        <v>-19785.069136400001</v>
      </c>
      <c r="V605" s="293">
        <v>-19347.410939900001</v>
      </c>
      <c r="W605" s="293">
        <v>-19222.162832900001</v>
      </c>
      <c r="X605" s="293">
        <v>-19179.994036399999</v>
      </c>
      <c r="Y605" s="293">
        <v>-18967.3746546</v>
      </c>
      <c r="Z605" s="293">
        <v>-20923.714532900001</v>
      </c>
      <c r="AA605" s="293">
        <v>-20009.830124399999</v>
      </c>
      <c r="AB605" s="293">
        <v>-303987.58033199998</v>
      </c>
    </row>
    <row r="606" spans="10:28" ht="15" customHeight="1" x14ac:dyDescent="0.25">
      <c r="J606" s="291" t="str">
        <f xml:space="preserve"> _xll.EPMOlapMemberO("[COSTCENTER].[PARENTH1].[1001]","","1001","","000")</f>
        <v>1001</v>
      </c>
      <c r="K606" s="299" t="str">
        <f xml:space="preserve"> _xll.EPMOlapMemberO("[C_ACCOUNT].[PARENTH1].[A_P1000110]","","A_P1000110","","000")</f>
        <v>A_P1000110</v>
      </c>
      <c r="L606" s="293" t="str">
        <f>_xll.EPMMemberDesc(K606)</f>
        <v>Planned SS CorpComm Chgs</v>
      </c>
      <c r="M606" s="293">
        <v>0</v>
      </c>
      <c r="N606" s="293">
        <v>0</v>
      </c>
      <c r="O606" s="293">
        <v>0</v>
      </c>
      <c r="P606" s="293">
        <v>-49880.622416999999</v>
      </c>
      <c r="Q606" s="293">
        <v>-42080.086244700004</v>
      </c>
      <c r="R606" s="293">
        <v>-48971.4811348</v>
      </c>
      <c r="S606" s="293">
        <v>-45121.626379100002</v>
      </c>
      <c r="T606" s="293">
        <v>-43600.856002599998</v>
      </c>
      <c r="U606" s="293">
        <v>-45462.7263791</v>
      </c>
      <c r="V606" s="293">
        <v>-45760.109586300001</v>
      </c>
      <c r="W606" s="293">
        <v>-44903.833171899998</v>
      </c>
      <c r="X606" s="293">
        <v>-46486.026379100003</v>
      </c>
      <c r="Y606" s="293">
        <v>-44125.6392098</v>
      </c>
      <c r="Z606" s="293">
        <v>-45529.183171899997</v>
      </c>
      <c r="AA606" s="293">
        <v>-55738.394341899999</v>
      </c>
      <c r="AB606" s="293">
        <v>-557660.58441819996</v>
      </c>
    </row>
    <row r="607" spans="10:28" ht="15" customHeight="1" x14ac:dyDescent="0.25">
      <c r="J607" s="291" t="str">
        <f xml:space="preserve"> _xll.EPMOlapMemberO("[COSTCENTER].[PARENTH1].[1001]","","1001","","000")</f>
        <v>1001</v>
      </c>
      <c r="K607" s="299" t="str">
        <f xml:space="preserve"> _xll.EPMOlapMemberO("[C_ACCOUNT].[PARENTH1].[A_P1000111]","","A_P1000111","","000")</f>
        <v>A_P1000111</v>
      </c>
      <c r="L607" s="293" t="str">
        <f>_xll.EPMMemberDesc(K607)</f>
        <v>Planned SS AcctsPay Chgs</v>
      </c>
      <c r="M607" s="293">
        <v>0</v>
      </c>
      <c r="N607" s="293">
        <v>0</v>
      </c>
      <c r="O607" s="293">
        <v>0</v>
      </c>
      <c r="P607" s="293">
        <v>-54533.091640799998</v>
      </c>
      <c r="Q607" s="293">
        <v>-48478.158822199999</v>
      </c>
      <c r="R607" s="293">
        <v>-54593.014129299998</v>
      </c>
      <c r="S607" s="293">
        <v>-52481.360854400002</v>
      </c>
      <c r="T607" s="293">
        <v>-49810.670520200001</v>
      </c>
      <c r="U607" s="293">
        <v>-53101.888120700001</v>
      </c>
      <c r="V607" s="293">
        <v>-55460.175619399997</v>
      </c>
      <c r="W607" s="293">
        <v>-49810.670520200001</v>
      </c>
      <c r="X607" s="293">
        <v>-52572.011620700003</v>
      </c>
      <c r="Y607" s="293">
        <v>-53598.755920700001</v>
      </c>
      <c r="Z607" s="293">
        <v>-50108.9070202</v>
      </c>
      <c r="AA607" s="293">
        <v>-54994.0001194</v>
      </c>
      <c r="AB607" s="293">
        <v>-629542.70490819996</v>
      </c>
    </row>
    <row r="608" spans="10:28" ht="15" customHeight="1" x14ac:dyDescent="0.25">
      <c r="J608" s="291" t="str">
        <f xml:space="preserve"> _xll.EPMOlapMemberO("[COSTCENTER].[PARENTH1].[1001]","","1001","","000")</f>
        <v>1001</v>
      </c>
      <c r="K608" s="299" t="str">
        <f xml:space="preserve"> _xll.EPMOlapMemberO("[C_ACCOUNT].[PARENTH1].[A_P1000112]","","A_P1000112","","000")</f>
        <v>A_P1000112</v>
      </c>
      <c r="L608" s="293" t="str">
        <f>_xll.EPMMemberDesc(K608)</f>
        <v>Planned SS Claims Chgs</v>
      </c>
      <c r="M608" s="293">
        <v>0</v>
      </c>
      <c r="N608" s="293">
        <v>0</v>
      </c>
      <c r="O608" s="293">
        <v>0</v>
      </c>
      <c r="P608" s="293">
        <v>-78106.986587899999</v>
      </c>
      <c r="Q608" s="293">
        <v>-34160.262890099999</v>
      </c>
      <c r="R608" s="293">
        <v>-38880.750029399998</v>
      </c>
      <c r="S608" s="293">
        <v>-37307.255456799998</v>
      </c>
      <c r="T608" s="293">
        <v>-36431.707462400002</v>
      </c>
      <c r="U608" s="293">
        <v>-37307.255456799998</v>
      </c>
      <c r="V608" s="293">
        <v>-79680.484582300007</v>
      </c>
      <c r="W608" s="293">
        <v>-38005.205456800002</v>
      </c>
      <c r="X608" s="293">
        <v>-37307.255456799998</v>
      </c>
      <c r="Y608" s="293">
        <v>-35733.757462399997</v>
      </c>
      <c r="Z608" s="293">
        <v>-37307.255456799998</v>
      </c>
      <c r="AA608" s="293">
        <v>-38931.5100294</v>
      </c>
      <c r="AB608" s="293">
        <v>-529159.68632790004</v>
      </c>
    </row>
    <row r="609" spans="10:28" ht="15" customHeight="1" x14ac:dyDescent="0.25">
      <c r="J609" s="291" t="str">
        <f xml:space="preserve"> _xll.EPMOlapMemberO("[COSTCENTER].[PARENTH1].[1001]","","1001","","000")</f>
        <v>1001</v>
      </c>
      <c r="K609" s="299" t="str">
        <f xml:space="preserve"> _xll.EPMOlapMemberO("[C_ACCOUNT].[PARENTH1].[A_S6790800]","","A_S6790800","","000")</f>
        <v>A_S6790800</v>
      </c>
      <c r="L609" s="293" t="str">
        <f>_xll.EPMMemberDesc(K609)</f>
        <v>Settled Other Operational Expense - Misc</v>
      </c>
      <c r="M609" s="293">
        <v>0</v>
      </c>
      <c r="N609" s="293">
        <v>0</v>
      </c>
      <c r="O609" s="293">
        <v>0</v>
      </c>
      <c r="P609" s="293">
        <v>-424249.01933380001</v>
      </c>
      <c r="Q609" s="293">
        <v>-424249.01933380001</v>
      </c>
      <c r="R609" s="293">
        <v>-424249.01933380001</v>
      </c>
      <c r="S609" s="293">
        <v>-424249.01933380001</v>
      </c>
      <c r="T609" s="293">
        <v>-424249.01933380001</v>
      </c>
      <c r="U609" s="293">
        <v>-424249.01933380001</v>
      </c>
      <c r="V609" s="293">
        <v>-424249.01933380001</v>
      </c>
      <c r="W609" s="293">
        <v>-424249.01933380001</v>
      </c>
      <c r="X609" s="293">
        <v>-424249.01933380001</v>
      </c>
      <c r="Y609" s="293">
        <v>-424249.01933380001</v>
      </c>
      <c r="Z609" s="293">
        <v>-424249.01933380001</v>
      </c>
      <c r="AA609" s="293">
        <v>-424249.01933380001</v>
      </c>
      <c r="AB609" s="293">
        <v>-5090988.2320055999</v>
      </c>
    </row>
    <row r="610" spans="10:28" ht="15" customHeight="1" x14ac:dyDescent="0.25">
      <c r="J610" s="291" t="str">
        <f xml:space="preserve"> _xll.EPMOlapMemberO("[COSTCENTER].[PARENTH1].[1001]","","1001","","000")</f>
        <v>1001</v>
      </c>
      <c r="K610" s="299" t="str">
        <f xml:space="preserve"> _xll.EPMOlapMemberO("[C_ACCOUNT].[PARENTH1].[A_S6798999]","","A_S6798999","","000")</f>
        <v>A_S6798999</v>
      </c>
      <c r="L610" s="293" t="str">
        <f>_xll.EPMMemberDesc(K610)</f>
        <v>Settled Other Operational Expense Reclas</v>
      </c>
      <c r="M610" s="293">
        <v>0</v>
      </c>
      <c r="N610" s="293">
        <v>0</v>
      </c>
      <c r="O610" s="293">
        <v>0</v>
      </c>
      <c r="P610" s="293">
        <v>-13333.33</v>
      </c>
      <c r="Q610" s="293">
        <v>-13333.33</v>
      </c>
      <c r="R610" s="293">
        <v>-13333.33</v>
      </c>
      <c r="S610" s="293">
        <v>-13333.33</v>
      </c>
      <c r="T610" s="293">
        <v>-13333.33</v>
      </c>
      <c r="U610" s="293">
        <v>-13333.33</v>
      </c>
      <c r="V610" s="293">
        <v>-13333.33</v>
      </c>
      <c r="W610" s="293">
        <v>-13333.33</v>
      </c>
      <c r="X610" s="293">
        <v>-13333.34</v>
      </c>
      <c r="Y610" s="293">
        <v>-13333.34</v>
      </c>
      <c r="Z610" s="293">
        <v>-13333.34</v>
      </c>
      <c r="AA610" s="293">
        <v>-13333.34</v>
      </c>
      <c r="AB610" s="293">
        <v>-160000</v>
      </c>
    </row>
    <row r="611" spans="10:28" ht="15" customHeight="1" x14ac:dyDescent="0.2">
      <c r="J611" s="286" t="str">
        <f xml:space="preserve"> _xll.EPMOlapMemberO("[COSTCENTER].[PARENTH1].[1001]","","1001","","000")</f>
        <v>1001</v>
      </c>
      <c r="K611" s="294" t="str">
        <f xml:space="preserve"> _xll.EPMOlapMemberO("[C_ACCOUNT].[PARENTH1].[DEP_AMORTIZATION]","","DEP_AMORTIZATION","","000")</f>
        <v>DEP_AMORTIZATION</v>
      </c>
      <c r="L611" s="286" t="str">
        <f>_xll.EPMMemberDesc(K611)</f>
        <v>Depreciation and Amortization</v>
      </c>
      <c r="M611" s="287">
        <v>0</v>
      </c>
      <c r="N611" s="287">
        <v>0</v>
      </c>
      <c r="O611" s="287">
        <v>0</v>
      </c>
      <c r="P611" s="287">
        <v>31018817.524524398</v>
      </c>
      <c r="Q611" s="287">
        <v>31318107.756939299</v>
      </c>
      <c r="R611" s="287">
        <v>31378836.7878749</v>
      </c>
      <c r="S611" s="287">
        <v>31492525.9414449</v>
      </c>
      <c r="T611" s="287">
        <v>31580803.610068399</v>
      </c>
      <c r="U611" s="287">
        <v>31641775.149427801</v>
      </c>
      <c r="V611" s="287">
        <v>31817780.043129101</v>
      </c>
      <c r="W611" s="287">
        <v>31881683.765176699</v>
      </c>
      <c r="X611" s="287">
        <v>31974305.0701795</v>
      </c>
      <c r="Y611" s="287">
        <v>32045169.388966601</v>
      </c>
      <c r="Z611" s="287">
        <v>32219657.314957201</v>
      </c>
      <c r="AA611" s="287">
        <v>33470094.5193571</v>
      </c>
      <c r="AB611" s="287">
        <v>381839556.87204587</v>
      </c>
    </row>
    <row r="612" spans="10:28" ht="15" customHeight="1" x14ac:dyDescent="0.2">
      <c r="J612" s="286" t="str">
        <f xml:space="preserve"> _xll.EPMOlapMemberO("[COSTCENTER].[PARENTH1].[1001]","","1001","","000")</f>
        <v>1001</v>
      </c>
      <c r="K612" s="297" t="str">
        <f xml:space="preserve"> _xll.EPMOlapMemberO("[C_ACCOUNT].[PARENTH1].[DEP_EXP]","","DEP_EXP","","000")</f>
        <v>DEP_EXP</v>
      </c>
      <c r="L612" s="286" t="str">
        <f>_xll.EPMMemberDesc(K612)</f>
        <v>Depreciation Expense</v>
      </c>
      <c r="M612" s="287">
        <v>0</v>
      </c>
      <c r="N612" s="287">
        <v>0</v>
      </c>
      <c r="O612" s="287">
        <v>0</v>
      </c>
      <c r="P612" s="287">
        <v>29499963.133036502</v>
      </c>
      <c r="Q612" s="287">
        <v>29794676.203013901</v>
      </c>
      <c r="R612" s="287">
        <v>29850735.433216002</v>
      </c>
      <c r="S612" s="287">
        <v>29960983.599596601</v>
      </c>
      <c r="T612" s="287">
        <v>30046574.930945002</v>
      </c>
      <c r="U612" s="287">
        <v>30105014.9881959</v>
      </c>
      <c r="V612" s="287">
        <v>30274634.443495799</v>
      </c>
      <c r="W612" s="287">
        <v>30330732.430126101</v>
      </c>
      <c r="X612" s="287">
        <v>30416564.6548963</v>
      </c>
      <c r="Y612" s="287">
        <v>30466771.857953899</v>
      </c>
      <c r="Z612" s="287">
        <v>30579108.424572699</v>
      </c>
      <c r="AA612" s="287">
        <v>31804726.828607298</v>
      </c>
      <c r="AB612" s="287">
        <v>363130486.92765599</v>
      </c>
    </row>
    <row r="613" spans="10:28" ht="15" customHeight="1" x14ac:dyDescent="0.25">
      <c r="J613" s="291" t="str">
        <f xml:space="preserve"> _xll.EPMOlapMemberO("[COSTCENTER].[PARENTH1].[1001]","","1001","","000")</f>
        <v>1001</v>
      </c>
      <c r="K613" s="304" t="str">
        <f xml:space="preserve"> _xll.EPMOlapMemberO("[C_ACCOUNT].[PARENTH1].[A_6810010]","","A_6810010","","000")</f>
        <v>A_6810010</v>
      </c>
      <c r="L613" s="293" t="str">
        <f>_xll.EPMMemberDesc(K613)</f>
        <v>Depreciation - Utility Plant</v>
      </c>
      <c r="M613" s="293">
        <v>0</v>
      </c>
      <c r="N613" s="293">
        <v>0</v>
      </c>
      <c r="O613" s="293">
        <v>0</v>
      </c>
      <c r="P613" s="293">
        <v>27170216.726318602</v>
      </c>
      <c r="Q613" s="293">
        <v>27461778.997988001</v>
      </c>
      <c r="R613" s="293">
        <v>27510574.014222998</v>
      </c>
      <c r="S613" s="293">
        <v>27605369.320498101</v>
      </c>
      <c r="T613" s="293">
        <v>27676327.340768699</v>
      </c>
      <c r="U613" s="293">
        <v>27722885.923830599</v>
      </c>
      <c r="V613" s="293">
        <v>27873991.233387001</v>
      </c>
      <c r="W613" s="293">
        <v>27924107.5919335</v>
      </c>
      <c r="X613" s="293">
        <v>27999393.7131394</v>
      </c>
      <c r="Y613" s="293">
        <v>28040065.865710799</v>
      </c>
      <c r="Z613" s="293">
        <v>28135350.2205768</v>
      </c>
      <c r="AA613" s="293">
        <v>29360362.976016499</v>
      </c>
      <c r="AB613" s="293">
        <v>334480423.92439097</v>
      </c>
    </row>
    <row r="614" spans="10:28" ht="15" customHeight="1" x14ac:dyDescent="0.25">
      <c r="J614" s="291" t="str">
        <f xml:space="preserve"> _xll.EPMOlapMemberO("[COSTCENTER].[PARENTH1].[1001]","","1001","","000")</f>
        <v>1001</v>
      </c>
      <c r="K614" s="304" t="str">
        <f xml:space="preserve"> _xll.EPMOlapMemberO("[C_ACCOUNT].[PARENTH1].[A_6810025]","","A_6810025","","000")</f>
        <v>A_6810025</v>
      </c>
      <c r="L614" s="293" t="str">
        <f>_xll.EPMMemberDesc(K614)</f>
        <v>Depreciation - Non-Utility Property BTL</v>
      </c>
      <c r="M614" s="293">
        <v>0</v>
      </c>
      <c r="N614" s="293">
        <v>0</v>
      </c>
      <c r="O614" s="293">
        <v>0</v>
      </c>
      <c r="P614" s="293">
        <v>71930.128055599998</v>
      </c>
      <c r="Q614" s="293">
        <v>72514.267833299993</v>
      </c>
      <c r="R614" s="293">
        <v>73117.729833300007</v>
      </c>
      <c r="S614" s="293">
        <v>73721.191833300007</v>
      </c>
      <c r="T614" s="293">
        <v>74324.653833300006</v>
      </c>
      <c r="U614" s="293">
        <v>74928.115833300006</v>
      </c>
      <c r="V614" s="293">
        <v>75531.577833300005</v>
      </c>
      <c r="W614" s="293">
        <v>76135.039833300005</v>
      </c>
      <c r="X614" s="293">
        <v>76738.501833300004</v>
      </c>
      <c r="Y614" s="293">
        <v>77341.963833300004</v>
      </c>
      <c r="Z614" s="293">
        <v>77945.425833300003</v>
      </c>
      <c r="AA614" s="293">
        <v>78548.887833300003</v>
      </c>
      <c r="AB614" s="293">
        <v>902777.4842219</v>
      </c>
    </row>
    <row r="615" spans="10:28" ht="15" customHeight="1" x14ac:dyDescent="0.25">
      <c r="J615" s="291" t="str">
        <f xml:space="preserve"> _xll.EPMOlapMemberO("[COSTCENTER].[PARENTH1].[1001]","","1001","","000")</f>
        <v>1001</v>
      </c>
      <c r="K615" s="304" t="str">
        <f xml:space="preserve"> _xll.EPMOlapMemberO("[C_ACCOUNT].[PARENTH1].[A_6810050]","","A_6810050","","000")</f>
        <v>A_6810050</v>
      </c>
      <c r="L615" s="293" t="str">
        <f>_xll.EPMMemberDesc(K615)</f>
        <v>Depreciation - Environmental</v>
      </c>
      <c r="M615" s="293">
        <v>0</v>
      </c>
      <c r="N615" s="293">
        <v>0</v>
      </c>
      <c r="O615" s="293">
        <v>0</v>
      </c>
      <c r="P615" s="293">
        <v>1672470</v>
      </c>
      <c r="Q615" s="293">
        <v>1672470</v>
      </c>
      <c r="R615" s="293">
        <v>1676463</v>
      </c>
      <c r="S615" s="293">
        <v>1676789</v>
      </c>
      <c r="T615" s="293">
        <v>1676888</v>
      </c>
      <c r="U615" s="293">
        <v>1676888</v>
      </c>
      <c r="V615" s="293">
        <v>1676888</v>
      </c>
      <c r="W615" s="293">
        <v>1676888</v>
      </c>
      <c r="X615" s="293">
        <v>1678263</v>
      </c>
      <c r="Y615" s="293">
        <v>1678763</v>
      </c>
      <c r="Z615" s="293">
        <v>1688465</v>
      </c>
      <c r="AA615" s="293">
        <v>1683990</v>
      </c>
      <c r="AB615" s="293">
        <v>20135225</v>
      </c>
    </row>
    <row r="616" spans="10:28" ht="15" customHeight="1" x14ac:dyDescent="0.25">
      <c r="J616" s="291" t="str">
        <f xml:space="preserve"> _xll.EPMOlapMemberO("[COSTCENTER].[PARENTH1].[1001]","","1001","","000")</f>
        <v>1001</v>
      </c>
      <c r="K616" s="304" t="str">
        <f xml:space="preserve"> _xll.EPMOlapMemberO("[C_ACCOUNT].[PARENTH1].[A_6810060]","","A_6810060","","000")</f>
        <v>A_6810060</v>
      </c>
      <c r="L616" s="293" t="str">
        <f>_xll.EPMMemberDesc(K616)</f>
        <v>Depreciation - Dismantling Accrual</v>
      </c>
      <c r="M616" s="293">
        <v>0</v>
      </c>
      <c r="N616" s="293">
        <v>0</v>
      </c>
      <c r="O616" s="293">
        <v>0</v>
      </c>
      <c r="P616" s="293">
        <v>98841.17</v>
      </c>
      <c r="Q616" s="293">
        <v>98841.17</v>
      </c>
      <c r="R616" s="293">
        <v>98841.17</v>
      </c>
      <c r="S616" s="293">
        <v>98841.17</v>
      </c>
      <c r="T616" s="293">
        <v>98841.17</v>
      </c>
      <c r="U616" s="293">
        <v>98841.17</v>
      </c>
      <c r="V616" s="293">
        <v>98841.17</v>
      </c>
      <c r="W616" s="293">
        <v>98841.17</v>
      </c>
      <c r="X616" s="293">
        <v>98841.17</v>
      </c>
      <c r="Y616" s="293">
        <v>98841.17</v>
      </c>
      <c r="Z616" s="293">
        <v>98841.17</v>
      </c>
      <c r="AA616" s="293">
        <v>98841.17</v>
      </c>
      <c r="AB616" s="293">
        <v>1186094.04</v>
      </c>
    </row>
    <row r="617" spans="10:28" ht="15" customHeight="1" x14ac:dyDescent="0.25">
      <c r="J617" s="291" t="str">
        <f xml:space="preserve"> _xll.EPMOlapMemberO("[COSTCENTER].[PARENTH1].[1001]","","1001","","000")</f>
        <v>1001</v>
      </c>
      <c r="K617" s="304" t="str">
        <f xml:space="preserve"> _xll.EPMOlapMemberO("[C_ACCOUNT].[PARENTH1].[A_6810090]","","A_6810090","","000")</f>
        <v>A_6810090</v>
      </c>
      <c r="L617" s="293" t="str">
        <f>_xll.EPMMemberDesc(K617)</f>
        <v>Depreciation – SPPCRC</v>
      </c>
      <c r="M617" s="293">
        <v>0</v>
      </c>
      <c r="N617" s="293">
        <v>0</v>
      </c>
      <c r="O617" s="293">
        <v>0</v>
      </c>
      <c r="P617" s="293">
        <v>28380.108662300001</v>
      </c>
      <c r="Q617" s="293">
        <v>30946.7671926</v>
      </c>
      <c r="R617" s="293">
        <v>33614.519159700001</v>
      </c>
      <c r="S617" s="293">
        <v>48137.917265199998</v>
      </c>
      <c r="T617" s="293">
        <v>62068.766343000003</v>
      </c>
      <c r="U617" s="293">
        <v>73346.778531999997</v>
      </c>
      <c r="V617" s="293">
        <v>91257.462275500002</v>
      </c>
      <c r="W617" s="293">
        <v>96635.628359299997</v>
      </c>
      <c r="X617" s="293">
        <v>105203.2699236</v>
      </c>
      <c r="Y617" s="293">
        <v>113634.8584098</v>
      </c>
      <c r="Z617" s="293">
        <v>120381.60816259999</v>
      </c>
      <c r="AA617" s="293">
        <v>124858.7947575</v>
      </c>
      <c r="AB617" s="293">
        <v>928466.47904310003</v>
      </c>
    </row>
    <row r="618" spans="10:28" ht="15" customHeight="1" x14ac:dyDescent="0.25">
      <c r="J618" s="291" t="str">
        <f xml:space="preserve"> _xll.EPMOlapMemberO("[COSTCENTER].[PARENTH1].[1001]","","1001","","000")</f>
        <v>1001</v>
      </c>
      <c r="K618" s="304" t="str">
        <f xml:space="preserve"> _xll.EPMOlapMemberO("[C_ACCOUNT].[PARENTH1].[A_6810140]","","A_6810140","","000")</f>
        <v>A_6810140</v>
      </c>
      <c r="L618" s="293" t="str">
        <f>_xll.EPMMemberDesc(K618)</f>
        <v>Depreciation - Conservation</v>
      </c>
      <c r="M618" s="293">
        <v>0</v>
      </c>
      <c r="N618" s="293">
        <v>0</v>
      </c>
      <c r="O618" s="293">
        <v>0</v>
      </c>
      <c r="P618" s="293">
        <v>458125</v>
      </c>
      <c r="Q618" s="293">
        <v>458125</v>
      </c>
      <c r="R618" s="293">
        <v>458125</v>
      </c>
      <c r="S618" s="293">
        <v>458125</v>
      </c>
      <c r="T618" s="293">
        <v>458125</v>
      </c>
      <c r="U618" s="293">
        <v>458125</v>
      </c>
      <c r="V618" s="293">
        <v>458125</v>
      </c>
      <c r="W618" s="293">
        <v>458125</v>
      </c>
      <c r="X618" s="293">
        <v>458125</v>
      </c>
      <c r="Y618" s="293">
        <v>458125</v>
      </c>
      <c r="Z618" s="293">
        <v>458125</v>
      </c>
      <c r="AA618" s="293">
        <v>458125</v>
      </c>
      <c r="AB618" s="293">
        <v>5497500</v>
      </c>
    </row>
    <row r="619" spans="10:28" ht="15" customHeight="1" x14ac:dyDescent="0.2">
      <c r="J619" s="286" t="str">
        <f xml:space="preserve"> _xll.EPMOlapMemberO("[COSTCENTER].[PARENTH1].[1001]","","1001","","000")</f>
        <v>1001</v>
      </c>
      <c r="K619" s="297" t="str">
        <f xml:space="preserve"> _xll.EPMOlapMemberO("[C_ACCOUNT].[PARENTH1].[AMORT_EXP]","","AMORT_EXP","","000")</f>
        <v>AMORT_EXP</v>
      </c>
      <c r="L619" s="286" t="str">
        <f>_xll.EPMMemberDesc(K619)</f>
        <v>Amortization Expense</v>
      </c>
      <c r="M619" s="287">
        <v>0</v>
      </c>
      <c r="N619" s="287">
        <v>0</v>
      </c>
      <c r="O619" s="287">
        <v>0</v>
      </c>
      <c r="P619" s="287">
        <v>1518854.3914878999</v>
      </c>
      <c r="Q619" s="287">
        <v>1523431.5539253999</v>
      </c>
      <c r="R619" s="287">
        <v>1528101.3546589001</v>
      </c>
      <c r="S619" s="287">
        <v>1531542.3418483001</v>
      </c>
      <c r="T619" s="287">
        <v>1534228.6791234</v>
      </c>
      <c r="U619" s="287">
        <v>1536760.1612319001</v>
      </c>
      <c r="V619" s="287">
        <v>1543145.5996333</v>
      </c>
      <c r="W619" s="287">
        <v>1550951.3350506001</v>
      </c>
      <c r="X619" s="287">
        <v>1557740.4152832001</v>
      </c>
      <c r="Y619" s="287">
        <v>1578397.5310126999</v>
      </c>
      <c r="Z619" s="287">
        <v>1640548.8903844999</v>
      </c>
      <c r="AA619" s="287">
        <v>1665367.6907498001</v>
      </c>
      <c r="AB619" s="287">
        <v>18709069.944389898</v>
      </c>
    </row>
    <row r="620" spans="10:28" ht="15" customHeight="1" x14ac:dyDescent="0.25">
      <c r="J620" s="291" t="str">
        <f xml:space="preserve"> _xll.EPMOlapMemberO("[COSTCENTER].[PARENTH1].[1001]","","1001","","000")</f>
        <v>1001</v>
      </c>
      <c r="K620" s="304" t="str">
        <f xml:space="preserve"> _xll.EPMOlapMemberO("[C_ACCOUNT].[PARENTH1].[A_6800010]","","A_6800010","","000")</f>
        <v>A_6800010</v>
      </c>
      <c r="L620" s="293" t="str">
        <f>_xll.EPMMemberDesc(K620)</f>
        <v>Amortization - Utility Plant</v>
      </c>
      <c r="M620" s="293">
        <v>0</v>
      </c>
      <c r="N620" s="293">
        <v>0</v>
      </c>
      <c r="O620" s="293">
        <v>0</v>
      </c>
      <c r="P620" s="293">
        <v>1499128.6514878999</v>
      </c>
      <c r="Q620" s="293">
        <v>1503705.8139253999</v>
      </c>
      <c r="R620" s="293">
        <v>1508375.6146589001</v>
      </c>
      <c r="S620" s="293">
        <v>1511816.6018483001</v>
      </c>
      <c r="T620" s="293">
        <v>1514502.9391234</v>
      </c>
      <c r="U620" s="293">
        <v>1517034.4212319001</v>
      </c>
      <c r="V620" s="293">
        <v>1523419.8596333</v>
      </c>
      <c r="W620" s="293">
        <v>1531225.5950505999</v>
      </c>
      <c r="X620" s="293">
        <v>1538014.6752832001</v>
      </c>
      <c r="Y620" s="293">
        <v>1558671.7910126999</v>
      </c>
      <c r="Z620" s="293">
        <v>1620823.1503844999</v>
      </c>
      <c r="AA620" s="293">
        <v>1645641.9507498001</v>
      </c>
      <c r="AB620" s="293">
        <v>18472361.064389899</v>
      </c>
    </row>
    <row r="621" spans="10:28" ht="15" customHeight="1" x14ac:dyDescent="0.25">
      <c r="J621" s="291" t="str">
        <f xml:space="preserve"> _xll.EPMOlapMemberO("[COSTCENTER].[PARENTH1].[1001]","","1001","","000")</f>
        <v>1001</v>
      </c>
      <c r="K621" s="304" t="str">
        <f xml:space="preserve"> _xll.EPMOlapMemberO("[C_ACCOUNT].[PARENTH1].[A_6800040]","","A_6800040","","000")</f>
        <v>A_6800040</v>
      </c>
      <c r="L621" s="293" t="str">
        <f>_xll.EPMMemberDesc(K621)</f>
        <v>Amortization - Acquisition Adjustments</v>
      </c>
      <c r="M621" s="293">
        <v>0</v>
      </c>
      <c r="N621" s="293">
        <v>0</v>
      </c>
      <c r="O621" s="293">
        <v>0</v>
      </c>
      <c r="P621" s="293">
        <v>15479.11</v>
      </c>
      <c r="Q621" s="293">
        <v>15479.11</v>
      </c>
      <c r="R621" s="293">
        <v>15479.11</v>
      </c>
      <c r="S621" s="293">
        <v>15479.11</v>
      </c>
      <c r="T621" s="293">
        <v>15479.11</v>
      </c>
      <c r="U621" s="293">
        <v>15479.11</v>
      </c>
      <c r="V621" s="293">
        <v>15479.11</v>
      </c>
      <c r="W621" s="293">
        <v>15479.11</v>
      </c>
      <c r="X621" s="293">
        <v>15479.11</v>
      </c>
      <c r="Y621" s="293">
        <v>15479.11</v>
      </c>
      <c r="Z621" s="293">
        <v>15479.11</v>
      </c>
      <c r="AA621" s="293">
        <v>15479.11</v>
      </c>
      <c r="AB621" s="293">
        <v>185749.32</v>
      </c>
    </row>
    <row r="622" spans="10:28" ht="15" customHeight="1" x14ac:dyDescent="0.25">
      <c r="J622" s="291" t="str">
        <f xml:space="preserve"> _xll.EPMOlapMemberO("[COSTCENTER].[PARENTH1].[1001]","","1001","","000")</f>
        <v>1001</v>
      </c>
      <c r="K622" s="304" t="str">
        <f xml:space="preserve"> _xll.EPMOlapMemberO("[C_ACCOUNT].[PARENTH1].[A_6800045]","","A_6800045","","000")</f>
        <v>A_6800045</v>
      </c>
      <c r="L622" s="293" t="str">
        <f>_xll.EPMMemberDesc(K622)</f>
        <v>Amortization - Acquisition Adjustments BTL</v>
      </c>
      <c r="M622" s="293">
        <v>0</v>
      </c>
      <c r="N622" s="293">
        <v>0</v>
      </c>
      <c r="O622" s="293">
        <v>0</v>
      </c>
      <c r="P622" s="293">
        <v>4246.63</v>
      </c>
      <c r="Q622" s="293">
        <v>4246.63</v>
      </c>
      <c r="R622" s="293">
        <v>4246.63</v>
      </c>
      <c r="S622" s="293">
        <v>4246.63</v>
      </c>
      <c r="T622" s="293">
        <v>4246.63</v>
      </c>
      <c r="U622" s="293">
        <v>4246.63</v>
      </c>
      <c r="V622" s="293">
        <v>4246.63</v>
      </c>
      <c r="W622" s="293">
        <v>4246.63</v>
      </c>
      <c r="X622" s="293">
        <v>4246.63</v>
      </c>
      <c r="Y622" s="293">
        <v>4246.63</v>
      </c>
      <c r="Z622" s="293">
        <v>4246.63</v>
      </c>
      <c r="AA622" s="293">
        <v>4246.63</v>
      </c>
      <c r="AB622" s="293">
        <v>50959.56</v>
      </c>
    </row>
    <row r="623" spans="10:28" ht="15" customHeight="1" x14ac:dyDescent="0.2">
      <c r="J623" s="286" t="str">
        <f xml:space="preserve"> _xll.EPMOlapMemberO("[COSTCENTER].[PARENTH1].[1001]","","1001","","000")</f>
        <v>1001</v>
      </c>
      <c r="K623" s="294" t="str">
        <f xml:space="preserve"> _xll.EPMOlapMemberO("[C_ACCOUNT].[PARENTH1].[TAXES]","","TAXES","","000")</f>
        <v>TAXES</v>
      </c>
      <c r="L623" s="286" t="str">
        <f>_xll.EPMMemberDesc(K623)</f>
        <v>Taxes. other than income</v>
      </c>
      <c r="M623" s="287">
        <v>0</v>
      </c>
      <c r="N623" s="287">
        <v>0</v>
      </c>
      <c r="O623" s="287">
        <v>0</v>
      </c>
      <c r="P623" s="287">
        <v>14858843.205</v>
      </c>
      <c r="Q623" s="287">
        <v>13834651.205</v>
      </c>
      <c r="R623" s="287">
        <v>13775137.206666701</v>
      </c>
      <c r="S623" s="287">
        <v>14067843.205</v>
      </c>
      <c r="T623" s="287">
        <v>14736843.205</v>
      </c>
      <c r="U623" s="287">
        <v>16160137.206666701</v>
      </c>
      <c r="V623" s="287">
        <v>16473843.205</v>
      </c>
      <c r="W623" s="287">
        <v>16386843.205</v>
      </c>
      <c r="X623" s="287">
        <v>16925137.206666701</v>
      </c>
      <c r="Y623" s="287">
        <v>15853843.205</v>
      </c>
      <c r="Z623" s="287">
        <v>14444843.205</v>
      </c>
      <c r="AA623" s="287">
        <v>14763137.206666701</v>
      </c>
      <c r="AB623" s="287">
        <v>182281102.46666679</v>
      </c>
    </row>
    <row r="624" spans="10:28" ht="15" customHeight="1" x14ac:dyDescent="0.25">
      <c r="J624" s="291" t="str">
        <f xml:space="preserve"> _xll.EPMOlapMemberO("[COSTCENTER].[PARENTH1].[1001]","","1001","","000")</f>
        <v>1001</v>
      </c>
      <c r="K624" s="295" t="str">
        <f xml:space="preserve"> _xll.EPMOlapMemberO("[C_ACCOUNT].[PARENTH1].[A_6900010]","","A_6900010","","000")</f>
        <v>A_6900010</v>
      </c>
      <c r="L624" s="293" t="str">
        <f>_xll.EPMMemberDesc(K624)</f>
        <v>TOTI - Franchise Fees</v>
      </c>
      <c r="M624" s="293">
        <v>0</v>
      </c>
      <c r="N624" s="293">
        <v>0</v>
      </c>
      <c r="O624" s="293">
        <v>0</v>
      </c>
      <c r="P624" s="293">
        <v>3665000</v>
      </c>
      <c r="Q624" s="293">
        <v>3412000</v>
      </c>
      <c r="R624" s="293">
        <v>3353000</v>
      </c>
      <c r="S624" s="293">
        <v>3525000</v>
      </c>
      <c r="T624" s="293">
        <v>3899000</v>
      </c>
      <c r="U624" s="293">
        <v>4514000</v>
      </c>
      <c r="V624" s="293">
        <v>4707000</v>
      </c>
      <c r="W624" s="293">
        <v>4676000</v>
      </c>
      <c r="X624" s="293">
        <v>4877000</v>
      </c>
      <c r="Y624" s="293">
        <v>4430000</v>
      </c>
      <c r="Z624" s="293">
        <v>3742000</v>
      </c>
      <c r="AA624" s="293">
        <v>3561000</v>
      </c>
      <c r="AB624" s="293">
        <v>48361000</v>
      </c>
    </row>
    <row r="625" spans="10:28" ht="15" customHeight="1" x14ac:dyDescent="0.25">
      <c r="J625" s="291" t="str">
        <f xml:space="preserve"> _xll.EPMOlapMemberO("[COSTCENTER].[PARENTH1].[1001]","","1001","","000")</f>
        <v>1001</v>
      </c>
      <c r="K625" s="295" t="str">
        <f xml:space="preserve"> _xll.EPMOlapMemberO("[C_ACCOUNT].[PARENTH1].[A_6900030]","","A_6900030","","000")</f>
        <v>A_6900030</v>
      </c>
      <c r="L625" s="293" t="str">
        <f>_xll.EPMMemberDesc(K625)</f>
        <v>TOTI - Gross Receipts</v>
      </c>
      <c r="M625" s="293">
        <v>0</v>
      </c>
      <c r="N625" s="293">
        <v>0</v>
      </c>
      <c r="O625" s="293">
        <v>0</v>
      </c>
      <c r="P625" s="293">
        <v>3614000</v>
      </c>
      <c r="Q625" s="293">
        <v>3354000</v>
      </c>
      <c r="R625" s="293">
        <v>3292000</v>
      </c>
      <c r="S625" s="293">
        <v>3468000</v>
      </c>
      <c r="T625" s="293">
        <v>3853000</v>
      </c>
      <c r="U625" s="293">
        <v>4484000</v>
      </c>
      <c r="V625" s="293">
        <v>4682000</v>
      </c>
      <c r="W625" s="293">
        <v>4650000</v>
      </c>
      <c r="X625" s="293">
        <v>4856000</v>
      </c>
      <c r="Y625" s="293">
        <v>4397000</v>
      </c>
      <c r="Z625" s="293">
        <v>3689000</v>
      </c>
      <c r="AA625" s="293">
        <v>3503000</v>
      </c>
      <c r="AB625" s="293">
        <v>47842000</v>
      </c>
    </row>
    <row r="626" spans="10:28" ht="15" customHeight="1" x14ac:dyDescent="0.25">
      <c r="J626" s="291" t="str">
        <f xml:space="preserve"> _xll.EPMOlapMemberO("[COSTCENTER].[PARENTH1].[1001]","","1001","","000")</f>
        <v>1001</v>
      </c>
      <c r="K626" s="295" t="str">
        <f xml:space="preserve"> _xll.EPMOlapMemberO("[C_ACCOUNT].[PARENTH1].[A_6900040]","","A_6900040","","000")</f>
        <v>A_6900040</v>
      </c>
      <c r="L626" s="293" t="str">
        <f>_xll.EPMMemberDesc(K626)</f>
        <v>TOTI - Payroll Tax</v>
      </c>
      <c r="M626" s="293">
        <v>0</v>
      </c>
      <c r="N626" s="293">
        <v>0</v>
      </c>
      <c r="O626" s="293">
        <v>0</v>
      </c>
      <c r="P626" s="293">
        <v>2256139.8716666</v>
      </c>
      <c r="Q626" s="293">
        <v>1519947.8716666</v>
      </c>
      <c r="R626" s="293">
        <v>1641433.8733333</v>
      </c>
      <c r="S626" s="293">
        <v>1578139.8716666</v>
      </c>
      <c r="T626" s="293">
        <v>1463139.8716666</v>
      </c>
      <c r="U626" s="293">
        <v>1644433.8733333</v>
      </c>
      <c r="V626" s="293">
        <v>1573139.8716666</v>
      </c>
      <c r="W626" s="293">
        <v>1526139.8716666</v>
      </c>
      <c r="X626" s="293">
        <v>1664433.8733333</v>
      </c>
      <c r="Y626" s="293">
        <v>1509139.8716666</v>
      </c>
      <c r="Z626" s="293">
        <v>1513139.8716666</v>
      </c>
      <c r="AA626" s="293">
        <v>2454433.8733333</v>
      </c>
      <c r="AB626" s="293">
        <v>20343662.466666002</v>
      </c>
    </row>
    <row r="627" spans="10:28" ht="15" customHeight="1" x14ac:dyDescent="0.25">
      <c r="J627" s="291" t="str">
        <f xml:space="preserve"> _xll.EPMOlapMemberO("[COSTCENTER].[PARENTH1].[1001]","","1001","","000")</f>
        <v>1001</v>
      </c>
      <c r="K627" s="295" t="str">
        <f xml:space="preserve"> _xll.EPMOlapMemberO("[C_ACCOUNT].[PARENTH1].[A_6900060]","","A_6900060","","000")</f>
        <v>A_6900060</v>
      </c>
      <c r="L627" s="293" t="str">
        <f>_xll.EPMMemberDesc(K627)</f>
        <v>TOTI - Property Tax - Above the line</v>
      </c>
      <c r="M627" s="293">
        <v>0</v>
      </c>
      <c r="N627" s="293">
        <v>0</v>
      </c>
      <c r="O627" s="293">
        <v>0</v>
      </c>
      <c r="P627" s="293">
        <v>5790000</v>
      </c>
      <c r="Q627" s="293">
        <v>5790000</v>
      </c>
      <c r="R627" s="293">
        <v>5790000</v>
      </c>
      <c r="S627" s="293">
        <v>5790000</v>
      </c>
      <c r="T627" s="293">
        <v>5790000</v>
      </c>
      <c r="U627" s="293">
        <v>5790000</v>
      </c>
      <c r="V627" s="293">
        <v>5790000</v>
      </c>
      <c r="W627" s="293">
        <v>5790000</v>
      </c>
      <c r="X627" s="293">
        <v>5790000</v>
      </c>
      <c r="Y627" s="293">
        <v>5790000</v>
      </c>
      <c r="Z627" s="293">
        <v>5790000</v>
      </c>
      <c r="AA627" s="293">
        <v>5790000</v>
      </c>
      <c r="AB627" s="293">
        <v>69480000</v>
      </c>
    </row>
    <row r="628" spans="10:28" ht="15" customHeight="1" x14ac:dyDescent="0.25">
      <c r="J628" s="291" t="str">
        <f xml:space="preserve"> _xll.EPMOlapMemberO("[COSTCENTER].[PARENTH1].[1001]","","1001","","000")</f>
        <v>1001</v>
      </c>
      <c r="K628" s="295" t="str">
        <f xml:space="preserve"> _xll.EPMOlapMemberO("[C_ACCOUNT].[PARENTH1].[A_6900065]","","A_6900065","","000")</f>
        <v>A_6900065</v>
      </c>
      <c r="L628" s="293" t="str">
        <f>_xll.EPMMemberDesc(K628)</f>
        <v>TOTI - Property Tax - Below the line</v>
      </c>
      <c r="M628" s="293">
        <v>0</v>
      </c>
      <c r="N628" s="293">
        <v>0</v>
      </c>
      <c r="O628" s="293">
        <v>0</v>
      </c>
      <c r="P628" s="293">
        <v>9000</v>
      </c>
      <c r="Q628" s="293">
        <v>9000</v>
      </c>
      <c r="R628" s="293">
        <v>9000</v>
      </c>
      <c r="S628" s="293">
        <v>9000</v>
      </c>
      <c r="T628" s="293">
        <v>9000</v>
      </c>
      <c r="U628" s="293">
        <v>9000</v>
      </c>
      <c r="V628" s="293">
        <v>9000</v>
      </c>
      <c r="W628" s="293">
        <v>9000</v>
      </c>
      <c r="X628" s="293">
        <v>9000</v>
      </c>
      <c r="Y628" s="293">
        <v>9000</v>
      </c>
      <c r="Z628" s="293">
        <v>9000</v>
      </c>
      <c r="AA628" s="293">
        <v>9000</v>
      </c>
      <c r="AB628" s="293">
        <v>108000</v>
      </c>
    </row>
    <row r="629" spans="10:28" ht="15" customHeight="1" x14ac:dyDescent="0.25">
      <c r="J629" s="291" t="str">
        <f xml:space="preserve"> _xll.EPMOlapMemberO("[COSTCENTER].[PARENTH1].[1001]","","1001","","000")</f>
        <v>1001</v>
      </c>
      <c r="K629" s="295" t="str">
        <f xml:space="preserve"> _xll.EPMOlapMemberO("[C_ACCOUNT].[PARENTH1].[A_6900070]","","A_6900070","","000")</f>
        <v>A_6900070</v>
      </c>
      <c r="L629" s="293" t="str">
        <f>_xll.EPMMemberDesc(K629)</f>
        <v>TOTI - Regulatory Assessment Fee</v>
      </c>
      <c r="M629" s="293">
        <v>0</v>
      </c>
      <c r="N629" s="293">
        <v>0</v>
      </c>
      <c r="O629" s="293">
        <v>0</v>
      </c>
      <c r="P629" s="293">
        <v>107000</v>
      </c>
      <c r="Q629" s="293">
        <v>100000</v>
      </c>
      <c r="R629" s="293">
        <v>98000</v>
      </c>
      <c r="S629" s="293">
        <v>103000</v>
      </c>
      <c r="T629" s="293">
        <v>114000</v>
      </c>
      <c r="U629" s="293">
        <v>132000</v>
      </c>
      <c r="V629" s="293">
        <v>138000</v>
      </c>
      <c r="W629" s="293">
        <v>137000</v>
      </c>
      <c r="X629" s="293">
        <v>143000</v>
      </c>
      <c r="Y629" s="293">
        <v>130000</v>
      </c>
      <c r="Z629" s="293">
        <v>109000</v>
      </c>
      <c r="AA629" s="293">
        <v>104000</v>
      </c>
      <c r="AB629" s="293">
        <v>1415000</v>
      </c>
    </row>
    <row r="630" spans="10:28" ht="15" customHeight="1" x14ac:dyDescent="0.25">
      <c r="J630" s="291" t="str">
        <f xml:space="preserve"> _xll.EPMOlapMemberO("[COSTCENTER].[PARENTH1].[1001]","","1001","","000")</f>
        <v>1001</v>
      </c>
      <c r="K630" s="295" t="str">
        <f xml:space="preserve"> _xll.EPMOlapMemberO("[C_ACCOUNT].[PARENTH1].[A_6900080]","","A_6900080","","000")</f>
        <v>A_6900080</v>
      </c>
      <c r="L630" s="293" t="str">
        <f>_xll.EPMMemberDesc(K630)</f>
        <v>TOTI - Sales and Use</v>
      </c>
      <c r="M630" s="293">
        <v>0</v>
      </c>
      <c r="N630" s="293">
        <v>0</v>
      </c>
      <c r="O630" s="293">
        <v>0</v>
      </c>
      <c r="P630" s="293">
        <v>15000</v>
      </c>
      <c r="Q630" s="293">
        <v>15000</v>
      </c>
      <c r="R630" s="293">
        <v>15000</v>
      </c>
      <c r="S630" s="293">
        <v>15000</v>
      </c>
      <c r="T630" s="293">
        <v>15000</v>
      </c>
      <c r="U630" s="293">
        <v>15000</v>
      </c>
      <c r="V630" s="293">
        <v>15000</v>
      </c>
      <c r="W630" s="293">
        <v>15000</v>
      </c>
      <c r="X630" s="293">
        <v>15000</v>
      </c>
      <c r="Y630" s="293">
        <v>15000</v>
      </c>
      <c r="Z630" s="293">
        <v>15000</v>
      </c>
      <c r="AA630" s="293">
        <v>15000</v>
      </c>
      <c r="AB630" s="293">
        <v>180000</v>
      </c>
    </row>
    <row r="631" spans="10:28" ht="15" customHeight="1" x14ac:dyDescent="0.25">
      <c r="J631" s="291" t="str">
        <f xml:space="preserve"> _xll.EPMOlapMemberO("[COSTCENTER].[PARENTH1].[1001]","","1001","","000")</f>
        <v>1001</v>
      </c>
      <c r="K631" s="295" t="str">
        <f xml:space="preserve"> _xll.EPMOlapMemberO("[C_ACCOUNT].[PARENTH1].[A_6900100]","","A_6900100","","000")</f>
        <v>A_6900100</v>
      </c>
      <c r="L631" s="293" t="str">
        <f>_xll.EPMMemberDesc(K631)</f>
        <v>TOTI - State Intangible Gov't Leasehold Tax</v>
      </c>
      <c r="M631" s="293">
        <v>0</v>
      </c>
      <c r="N631" s="293">
        <v>0</v>
      </c>
      <c r="O631" s="293">
        <v>0</v>
      </c>
      <c r="P631" s="293">
        <v>0</v>
      </c>
      <c r="Q631" s="293">
        <v>3000</v>
      </c>
      <c r="R631" s="293">
        <v>0</v>
      </c>
      <c r="S631" s="293">
        <v>0</v>
      </c>
      <c r="T631" s="293">
        <v>0</v>
      </c>
      <c r="U631" s="293">
        <v>0</v>
      </c>
      <c r="V631" s="293">
        <v>0</v>
      </c>
      <c r="W631" s="293">
        <v>0</v>
      </c>
      <c r="X631" s="293">
        <v>0</v>
      </c>
      <c r="Y631" s="293">
        <v>0</v>
      </c>
      <c r="Z631" s="293">
        <v>0</v>
      </c>
      <c r="AA631" s="293">
        <v>0</v>
      </c>
      <c r="AB631" s="293">
        <v>3000</v>
      </c>
    </row>
    <row r="632" spans="10:28" ht="15" customHeight="1" x14ac:dyDescent="0.25">
      <c r="J632" s="291" t="str">
        <f xml:space="preserve"> _xll.EPMOlapMemberO("[COSTCENTER].[PARENTH1].[1001]","","1001","","000")</f>
        <v>1001</v>
      </c>
      <c r="K632" s="295" t="str">
        <f xml:space="preserve"> _xll.EPMOlapMemberO("[C_ACCOUNT].[PARENTH1].[A_6900110]","","A_6900110","","000")</f>
        <v>A_6900110</v>
      </c>
      <c r="L632" s="293" t="str">
        <f>_xll.EPMMemberDesc(K632)</f>
        <v>TOTI - Federal Excise Tax</v>
      </c>
      <c r="M632" s="293">
        <v>0</v>
      </c>
      <c r="N632" s="293">
        <v>0</v>
      </c>
      <c r="O632" s="293">
        <v>0</v>
      </c>
      <c r="P632" s="293">
        <v>1703.3333333999999</v>
      </c>
      <c r="Q632" s="293">
        <v>3703.3333333999999</v>
      </c>
      <c r="R632" s="293">
        <v>1703.3333333999999</v>
      </c>
      <c r="S632" s="293">
        <v>1703.3333333999999</v>
      </c>
      <c r="T632" s="293">
        <v>1703.3333333999999</v>
      </c>
      <c r="U632" s="293">
        <v>1703.3333333999999</v>
      </c>
      <c r="V632" s="293">
        <v>1703.3333333999999</v>
      </c>
      <c r="W632" s="293">
        <v>9703.3333333999999</v>
      </c>
      <c r="X632" s="293">
        <v>1703.3333333999999</v>
      </c>
      <c r="Y632" s="293">
        <v>1703.3333333999999</v>
      </c>
      <c r="Z632" s="293">
        <v>2703.3333333999999</v>
      </c>
      <c r="AA632" s="293">
        <v>1703.3333333999999</v>
      </c>
      <c r="AB632" s="293">
        <v>31440.000000799999</v>
      </c>
    </row>
    <row r="633" spans="10:28" ht="15" customHeight="1" x14ac:dyDescent="0.25">
      <c r="J633" s="291" t="str">
        <f xml:space="preserve"> _xll.EPMOlapMemberO("[COSTCENTER].[PARENTH1].[1001]","","1001","","000")</f>
        <v>1001</v>
      </c>
      <c r="K633" s="295" t="str">
        <f xml:space="preserve"> _xll.EPMOlapMemberO("[C_ACCOUNT].[PARENTH1].[A_6900120]","","A_6900120","","000")</f>
        <v>A_6900120</v>
      </c>
      <c r="L633" s="293" t="str">
        <f>_xll.EPMMemberDesc(K633)</f>
        <v>TOTI - County/City Business License Tax</v>
      </c>
      <c r="M633" s="293">
        <v>0</v>
      </c>
      <c r="N633" s="293">
        <v>0</v>
      </c>
      <c r="O633" s="293">
        <v>0</v>
      </c>
      <c r="P633" s="293">
        <v>0</v>
      </c>
      <c r="Q633" s="293">
        <v>0</v>
      </c>
      <c r="R633" s="293">
        <v>0</v>
      </c>
      <c r="S633" s="293">
        <v>0</v>
      </c>
      <c r="T633" s="293">
        <v>0</v>
      </c>
      <c r="U633" s="293">
        <v>0</v>
      </c>
      <c r="V633" s="293">
        <v>0</v>
      </c>
      <c r="W633" s="293">
        <v>0</v>
      </c>
      <c r="X633" s="293">
        <v>9000</v>
      </c>
      <c r="Y633" s="293">
        <v>0</v>
      </c>
      <c r="Z633" s="293">
        <v>0</v>
      </c>
      <c r="AA633" s="293">
        <v>0</v>
      </c>
      <c r="AB633" s="293">
        <v>9000</v>
      </c>
    </row>
    <row r="634" spans="10:28" ht="15" customHeight="1" x14ac:dyDescent="0.25">
      <c r="J634" s="291" t="str">
        <f xml:space="preserve"> _xll.EPMOlapMemberO("[COSTCENTER].[PARENTH1].[1001]","","1001","","000")</f>
        <v>1001</v>
      </c>
      <c r="K634" s="295" t="str">
        <f xml:space="preserve"> _xll.EPMOlapMemberO("[C_ACCOUNT].[PARENTH1].[A_6900800]","","A_6900800","","000")</f>
        <v>A_6900800</v>
      </c>
      <c r="L634" s="293" t="str">
        <f>_xll.EPMMemberDesc(K634)</f>
        <v>Taxes other than income - Other</v>
      </c>
      <c r="M634" s="293">
        <v>0</v>
      </c>
      <c r="N634" s="293">
        <v>0</v>
      </c>
      <c r="O634" s="293">
        <v>0</v>
      </c>
      <c r="P634" s="293">
        <v>-599000</v>
      </c>
      <c r="Q634" s="293">
        <v>-372000</v>
      </c>
      <c r="R634" s="293">
        <v>-425000</v>
      </c>
      <c r="S634" s="293">
        <v>-422000</v>
      </c>
      <c r="T634" s="293">
        <v>-408000</v>
      </c>
      <c r="U634" s="293">
        <v>-430000</v>
      </c>
      <c r="V634" s="293">
        <v>-442000</v>
      </c>
      <c r="W634" s="293">
        <v>-426000</v>
      </c>
      <c r="X634" s="293">
        <v>-440000</v>
      </c>
      <c r="Y634" s="293">
        <v>-428000</v>
      </c>
      <c r="Z634" s="293">
        <v>-425000</v>
      </c>
      <c r="AA634" s="293">
        <v>-675000</v>
      </c>
      <c r="AB634" s="293">
        <v>-5492000</v>
      </c>
    </row>
    <row r="635" spans="10:28" ht="15" customHeight="1" x14ac:dyDescent="0.2">
      <c r="J635" s="286" t="str">
        <f xml:space="preserve"> _xll.EPMOlapMemberO("[COSTCENTER].[PARENTH1].[1001]","","1001","","000")</f>
        <v>1001</v>
      </c>
      <c r="K635" s="289" t="str">
        <f xml:space="preserve"> _xll.EPMOlapMemberO("[C_ACCOUNT].[PARENTH1].[OTH_INC]","","OTH_INC","","000")</f>
        <v>OTH_INC</v>
      </c>
      <c r="L635" s="286" t="str">
        <f>_xll.EPMMemberDesc(K635)</f>
        <v>OTHER INCOME (EXPENSE)</v>
      </c>
      <c r="M635" s="287">
        <v>0</v>
      </c>
      <c r="N635" s="287">
        <v>0</v>
      </c>
      <c r="O635" s="287">
        <v>0</v>
      </c>
      <c r="P635" s="287">
        <v>3306788.4177779998</v>
      </c>
      <c r="Q635" s="287">
        <v>3262103.2296989998</v>
      </c>
      <c r="R635" s="287">
        <v>3376205.7544610002</v>
      </c>
      <c r="S635" s="287">
        <v>3479451.8949890002</v>
      </c>
      <c r="T635" s="287">
        <v>3588420.8650739999</v>
      </c>
      <c r="U635" s="287">
        <v>3768463.9043470002</v>
      </c>
      <c r="V635" s="287">
        <v>3937088.9471820001</v>
      </c>
      <c r="W635" s="287">
        <v>4050042.5359109999</v>
      </c>
      <c r="X635" s="287">
        <v>4172768.5251739998</v>
      </c>
      <c r="Y635" s="287">
        <v>4256182.1097510001</v>
      </c>
      <c r="Z635" s="287">
        <v>3506982.6127780001</v>
      </c>
      <c r="AA635" s="287">
        <v>2448800.1707600001</v>
      </c>
      <c r="AB635" s="287">
        <v>43153298.967904001</v>
      </c>
    </row>
    <row r="636" spans="10:28" ht="15" customHeight="1" x14ac:dyDescent="0.2">
      <c r="J636" s="286" t="str">
        <f xml:space="preserve"> _xll.EPMOlapMemberO("[COSTCENTER].[PARENTH1].[1001]","","1001","","000")</f>
        <v>1001</v>
      </c>
      <c r="K636" s="290" t="str">
        <f xml:space="preserve"> _xll.EPMOlapMemberO("[C_ACCOUNT].[PARENTH1].[ALLOWANCE_CNSTRUCT]","","ALLOWANCE_CNSTRUCT","","000")</f>
        <v>ALLOWANCE_CNSTRUCT</v>
      </c>
      <c r="L636" s="286" t="str">
        <f>_xll.EPMMemberDesc(K636)</f>
        <v>Allowance for other funds used during construction</v>
      </c>
      <c r="M636" s="287">
        <v>0</v>
      </c>
      <c r="N636" s="287">
        <v>0</v>
      </c>
      <c r="O636" s="287">
        <v>0</v>
      </c>
      <c r="P636" s="287">
        <v>3003079.4177779998</v>
      </c>
      <c r="Q636" s="287">
        <v>2955060.4796989998</v>
      </c>
      <c r="R636" s="287">
        <v>3065324.3544609998</v>
      </c>
      <c r="S636" s="287">
        <v>3164689.444989</v>
      </c>
      <c r="T636" s="287">
        <v>3269192.565074</v>
      </c>
      <c r="U636" s="287">
        <v>3444839.3543469999</v>
      </c>
      <c r="V636" s="287">
        <v>3609248.3471820001</v>
      </c>
      <c r="W636" s="287">
        <v>3717610.3359110001</v>
      </c>
      <c r="X636" s="287">
        <v>3836910.975174</v>
      </c>
      <c r="Y636" s="287">
        <v>3916192.6197509998</v>
      </c>
      <c r="Z636" s="287">
        <v>3162848.6827779999</v>
      </c>
      <c r="AA636" s="287">
        <v>2101147.80076</v>
      </c>
      <c r="AB636" s="287">
        <v>39246144.377903998</v>
      </c>
    </row>
    <row r="637" spans="10:28" ht="15" customHeight="1" x14ac:dyDescent="0.25">
      <c r="J637" s="291" t="str">
        <f xml:space="preserve"> _xll.EPMOlapMemberO("[COSTCENTER].[PARENTH1].[1001]","","1001","","000")</f>
        <v>1001</v>
      </c>
      <c r="K637" s="292" t="str">
        <f xml:space="preserve"> _xll.EPMOlapMemberO("[C_ACCOUNT].[PARENTH1].[A_7100010]","","A_7100010","","000")</f>
        <v>A_7100010</v>
      </c>
      <c r="L637" s="293" t="str">
        <f>_xll.EPMMemberDesc(K637)</f>
        <v>Allowance for other funds AFUDC Equity</v>
      </c>
      <c r="M637" s="293">
        <v>0</v>
      </c>
      <c r="N637" s="293">
        <v>0</v>
      </c>
      <c r="O637" s="293">
        <v>0</v>
      </c>
      <c r="P637" s="293">
        <v>3003079.4177779998</v>
      </c>
      <c r="Q637" s="293">
        <v>2955060.4796989998</v>
      </c>
      <c r="R637" s="293">
        <v>3065324.3544609998</v>
      </c>
      <c r="S637" s="293">
        <v>3164689.444989</v>
      </c>
      <c r="T637" s="293">
        <v>3269192.565074</v>
      </c>
      <c r="U637" s="293">
        <v>3444839.3543469999</v>
      </c>
      <c r="V637" s="293">
        <v>3609248.3471820001</v>
      </c>
      <c r="W637" s="293">
        <v>3717610.3359110001</v>
      </c>
      <c r="X637" s="293">
        <v>3836910.975174</v>
      </c>
      <c r="Y637" s="293">
        <v>3916192.6197509998</v>
      </c>
      <c r="Z637" s="293">
        <v>3162848.6827779999</v>
      </c>
      <c r="AA637" s="293">
        <v>2101147.80076</v>
      </c>
      <c r="AB637" s="293">
        <v>39246144.377903998</v>
      </c>
    </row>
    <row r="638" spans="10:28" ht="15" customHeight="1" x14ac:dyDescent="0.2">
      <c r="J638" s="286" t="str">
        <f xml:space="preserve"> _xll.EPMOlapMemberO("[COSTCENTER].[PARENTH1].[1001]","","1001","","000")</f>
        <v>1001</v>
      </c>
      <c r="K638" s="290" t="str">
        <f xml:space="preserve"> _xll.EPMOlapMemberO("[C_ACCOUNT].[PARENTH1].[OTHER_INCOME]","","OTHER_INCOME","","000")</f>
        <v>OTHER_INCOME</v>
      </c>
      <c r="L638" s="286" t="str">
        <f>_xll.EPMMemberDesc(K638)</f>
        <v>Other income</v>
      </c>
      <c r="M638" s="287">
        <v>0</v>
      </c>
      <c r="N638" s="287">
        <v>0</v>
      </c>
      <c r="O638" s="287">
        <v>0</v>
      </c>
      <c r="P638" s="287">
        <v>303709</v>
      </c>
      <c r="Q638" s="287">
        <v>307042.75</v>
      </c>
      <c r="R638" s="287">
        <v>310881.40000000002</v>
      </c>
      <c r="S638" s="287">
        <v>314762.45</v>
      </c>
      <c r="T638" s="287">
        <v>319228.3</v>
      </c>
      <c r="U638" s="287">
        <v>323624.55</v>
      </c>
      <c r="V638" s="287">
        <v>327840.59999999998</v>
      </c>
      <c r="W638" s="287">
        <v>332432.2</v>
      </c>
      <c r="X638" s="287">
        <v>335857.55</v>
      </c>
      <c r="Y638" s="287">
        <v>339989.49</v>
      </c>
      <c r="Z638" s="287">
        <v>344133.93</v>
      </c>
      <c r="AA638" s="287">
        <v>347652.37</v>
      </c>
      <c r="AB638" s="287">
        <v>3907154.59</v>
      </c>
    </row>
    <row r="639" spans="10:28" ht="15" customHeight="1" x14ac:dyDescent="0.2">
      <c r="J639" s="286" t="str">
        <f xml:space="preserve"> _xll.EPMOlapMemberO("[COSTCENTER].[PARENTH1].[1001]","","1001","","000")</f>
        <v>1001</v>
      </c>
      <c r="K639" s="294" t="str">
        <f xml:space="preserve"> _xll.EPMOlapMemberO("[C_ACCOUNT].[PARENTH1].[OTH_INC_P]","","Oth_INC_P","","000")</f>
        <v>Oth_INC_P</v>
      </c>
      <c r="L639" s="286" t="str">
        <f>_xll.EPMMemberDesc(K639)</f>
        <v>Other Income</v>
      </c>
      <c r="M639" s="287">
        <v>0</v>
      </c>
      <c r="N639" s="287">
        <v>0</v>
      </c>
      <c r="O639" s="287">
        <v>0</v>
      </c>
      <c r="P639" s="287">
        <v>303709</v>
      </c>
      <c r="Q639" s="287">
        <v>307042.75</v>
      </c>
      <c r="R639" s="287">
        <v>310881.40000000002</v>
      </c>
      <c r="S639" s="287">
        <v>314762.45</v>
      </c>
      <c r="T639" s="287">
        <v>319228.3</v>
      </c>
      <c r="U639" s="287">
        <v>323624.55</v>
      </c>
      <c r="V639" s="287">
        <v>327840.59999999998</v>
      </c>
      <c r="W639" s="287">
        <v>332432.2</v>
      </c>
      <c r="X639" s="287">
        <v>335857.55</v>
      </c>
      <c r="Y639" s="287">
        <v>339989.49</v>
      </c>
      <c r="Z639" s="287">
        <v>344133.93</v>
      </c>
      <c r="AA639" s="287">
        <v>347652.37</v>
      </c>
      <c r="AB639" s="287">
        <v>3907154.59</v>
      </c>
    </row>
    <row r="640" spans="10:28" ht="15" customHeight="1" x14ac:dyDescent="0.25">
      <c r="J640" s="291" t="str">
        <f xml:space="preserve"> _xll.EPMOlapMemberO("[COSTCENTER].[PARENTH1].[1001]","","1001","","000")</f>
        <v>1001</v>
      </c>
      <c r="K640" s="295" t="str">
        <f xml:space="preserve"> _xll.EPMOlapMemberO("[C_ACCOUNT].[PARENTH1].[A_7000220]","","A_7000220","","000")</f>
        <v>A_7000220</v>
      </c>
      <c r="L640" s="293" t="str">
        <f>_xll.EPMMemberDesc(K640)</f>
        <v>Interest Inc - Defd Fuel Clause</v>
      </c>
      <c r="M640" s="293">
        <v>0</v>
      </c>
      <c r="N640" s="293">
        <v>0</v>
      </c>
      <c r="O640" s="293">
        <v>0</v>
      </c>
      <c r="P640" s="293">
        <v>5010</v>
      </c>
      <c r="Q640" s="293">
        <v>4897</v>
      </c>
      <c r="R640" s="293">
        <v>5198</v>
      </c>
      <c r="S640" s="293">
        <v>5269</v>
      </c>
      <c r="T640" s="293">
        <v>5127</v>
      </c>
      <c r="U640" s="293">
        <v>4761</v>
      </c>
      <c r="V640" s="293">
        <v>3591</v>
      </c>
      <c r="W640" s="293">
        <v>2486</v>
      </c>
      <c r="X640" s="293">
        <v>651</v>
      </c>
      <c r="Y640" s="293">
        <v>0</v>
      </c>
      <c r="Z640" s="293">
        <v>0</v>
      </c>
      <c r="AA640" s="293">
        <v>0</v>
      </c>
      <c r="AB640" s="293">
        <v>36990</v>
      </c>
    </row>
    <row r="641" spans="10:28" ht="15" customHeight="1" x14ac:dyDescent="0.25">
      <c r="J641" s="291" t="str">
        <f xml:space="preserve"> _xll.EPMOlapMemberO("[COSTCENTER].[PARENTH1].[1001]","","1001","","000")</f>
        <v>1001</v>
      </c>
      <c r="K641" s="295" t="str">
        <f xml:space="preserve"> _xll.EPMOlapMemberO("[C_ACCOUNT].[PARENTH1].[A_7000230]","","A_7000230","","000")</f>
        <v>A_7000230</v>
      </c>
      <c r="L641" s="293" t="str">
        <f>_xll.EPMMemberDesc(K641)</f>
        <v>Interest Inc - Defd Capacity Clause</v>
      </c>
      <c r="M641" s="293">
        <v>0</v>
      </c>
      <c r="N641" s="293">
        <v>0</v>
      </c>
      <c r="O641" s="293">
        <v>0</v>
      </c>
      <c r="P641" s="293">
        <v>189</v>
      </c>
      <c r="Q641" s="293">
        <v>629</v>
      </c>
      <c r="R641" s="293">
        <v>834</v>
      </c>
      <c r="S641" s="293">
        <v>804</v>
      </c>
      <c r="T641" s="293">
        <v>772</v>
      </c>
      <c r="U641" s="293">
        <v>740</v>
      </c>
      <c r="V641" s="293">
        <v>706</v>
      </c>
      <c r="W641" s="293">
        <v>672</v>
      </c>
      <c r="X641" s="293">
        <v>638</v>
      </c>
      <c r="Y641" s="293">
        <v>604</v>
      </c>
      <c r="Z641" s="293">
        <v>572</v>
      </c>
      <c r="AA641" s="293">
        <v>540</v>
      </c>
      <c r="AB641" s="293">
        <v>7700</v>
      </c>
    </row>
    <row r="642" spans="10:28" ht="15" customHeight="1" x14ac:dyDescent="0.25">
      <c r="J642" s="291" t="str">
        <f xml:space="preserve"> _xll.EPMOlapMemberO("[COSTCENTER].[PARENTH1].[1001]","","1001","","000")</f>
        <v>1001</v>
      </c>
      <c r="K642" s="295" t="str">
        <f xml:space="preserve"> _xll.EPMOlapMemberO("[C_ACCOUNT].[PARENTH1].[A_7000250]","","A_7000250","","000")</f>
        <v>A_7000250</v>
      </c>
      <c r="L642" s="293" t="str">
        <f>_xll.EPMMemberDesc(K642)</f>
        <v>Interest Inc - Defd Environmental Clause</v>
      </c>
      <c r="M642" s="293">
        <v>0</v>
      </c>
      <c r="N642" s="293">
        <v>0</v>
      </c>
      <c r="O642" s="293">
        <v>0</v>
      </c>
      <c r="P642" s="293">
        <v>1214</v>
      </c>
      <c r="Q642" s="293">
        <v>1285</v>
      </c>
      <c r="R642" s="293">
        <v>1420</v>
      </c>
      <c r="S642" s="293">
        <v>1530</v>
      </c>
      <c r="T642" s="293">
        <v>1539</v>
      </c>
      <c r="U642" s="293">
        <v>1369</v>
      </c>
      <c r="V642" s="293">
        <v>1049</v>
      </c>
      <c r="W642" s="293">
        <v>700</v>
      </c>
      <c r="X642" s="293">
        <v>321</v>
      </c>
      <c r="Y642" s="293">
        <v>0</v>
      </c>
      <c r="Z642" s="293">
        <v>0</v>
      </c>
      <c r="AA642" s="293">
        <v>0</v>
      </c>
      <c r="AB642" s="293">
        <v>10427</v>
      </c>
    </row>
    <row r="643" spans="10:28" ht="15" customHeight="1" x14ac:dyDescent="0.25">
      <c r="J643" s="291" t="str">
        <f xml:space="preserve"> _xll.EPMOlapMemberO("[COSTCENTER].[PARENTH1].[1001]","","1001","","000")</f>
        <v>1001</v>
      </c>
      <c r="K643" s="295" t="str">
        <f xml:space="preserve"> _xll.EPMOlapMemberO("[C_ACCOUNT].[PARENTH1].[A_7100800]","","A_7100800","","000")</f>
        <v>A_7100800</v>
      </c>
      <c r="L643" s="293" t="str">
        <f>_xll.EPMMemberDesc(K643)</f>
        <v>Oth Inc/Exp - Miscellaneous</v>
      </c>
      <c r="M643" s="293">
        <v>0</v>
      </c>
      <c r="N643" s="293">
        <v>0</v>
      </c>
      <c r="O643" s="293">
        <v>0</v>
      </c>
      <c r="P643" s="293">
        <v>4754</v>
      </c>
      <c r="Q643" s="293">
        <v>4754</v>
      </c>
      <c r="R643" s="293">
        <v>4754</v>
      </c>
      <c r="S643" s="293">
        <v>4754</v>
      </c>
      <c r="T643" s="293">
        <v>4754</v>
      </c>
      <c r="U643" s="293">
        <v>4754</v>
      </c>
      <c r="V643" s="293">
        <v>4754</v>
      </c>
      <c r="W643" s="293">
        <v>4754</v>
      </c>
      <c r="X643" s="293">
        <v>4754</v>
      </c>
      <c r="Y643" s="293">
        <v>4754</v>
      </c>
      <c r="Z643" s="293">
        <v>4754</v>
      </c>
      <c r="AA643" s="293">
        <v>4754</v>
      </c>
      <c r="AB643" s="293">
        <v>57048</v>
      </c>
    </row>
    <row r="644" spans="10:28" ht="15" customHeight="1" x14ac:dyDescent="0.25">
      <c r="J644" s="291" t="str">
        <f xml:space="preserve"> _xll.EPMOlapMemberO("[COSTCENTER].[PARENTH1].[1001]","","1001","","000")</f>
        <v>1001</v>
      </c>
      <c r="K644" s="295" t="str">
        <f xml:space="preserve"> _xll.EPMOlapMemberO("[C_ACCOUNT].[PARENTH1].[A_7000290]","","A_7000290","","000")</f>
        <v>A_7000290</v>
      </c>
      <c r="L644" s="293" t="str">
        <f>_xll.EPMMemberDesc(K644)</f>
        <v>Interest Inc - Defd Storm Clause</v>
      </c>
      <c r="M644" s="293">
        <v>0</v>
      </c>
      <c r="N644" s="293">
        <v>0</v>
      </c>
      <c r="O644" s="293">
        <v>0</v>
      </c>
      <c r="P644" s="293">
        <v>1242</v>
      </c>
      <c r="Q644" s="293">
        <v>1733</v>
      </c>
      <c r="R644" s="293">
        <v>1646</v>
      </c>
      <c r="S644" s="293">
        <v>1614</v>
      </c>
      <c r="T644" s="293">
        <v>1563</v>
      </c>
      <c r="U644" s="293">
        <v>1368</v>
      </c>
      <c r="V644" s="293">
        <v>1064</v>
      </c>
      <c r="W644" s="293">
        <v>742</v>
      </c>
      <c r="X644" s="293">
        <v>416</v>
      </c>
      <c r="Y644" s="293">
        <v>149</v>
      </c>
      <c r="Z644" s="293">
        <v>43</v>
      </c>
      <c r="AA644" s="293">
        <v>71</v>
      </c>
      <c r="AB644" s="293">
        <v>11651</v>
      </c>
    </row>
    <row r="645" spans="10:28" ht="15" customHeight="1" x14ac:dyDescent="0.25">
      <c r="J645" s="291" t="str">
        <f xml:space="preserve"> _xll.EPMOlapMemberO("[COSTCENTER].[PARENTH1].[1001]","","1001","","000")</f>
        <v>1001</v>
      </c>
      <c r="K645" s="295" t="str">
        <f xml:space="preserve"> _xll.EPMOlapMemberO("[C_ACCOUNT].[PARENTH1].[A_S7103040]","","A_S7103040","","000")</f>
        <v>A_S7103040</v>
      </c>
      <c r="L645" s="293" t="str">
        <f>_xll.EPMMemberDesc(K645)</f>
        <v>Settled Residential Zap Cap Revenue</v>
      </c>
      <c r="M645" s="293">
        <v>0</v>
      </c>
      <c r="N645" s="293">
        <v>0</v>
      </c>
      <c r="O645" s="293">
        <v>0</v>
      </c>
      <c r="P645" s="293">
        <v>354300</v>
      </c>
      <c r="Q645" s="293">
        <v>356884.75</v>
      </c>
      <c r="R645" s="293">
        <v>360344.4</v>
      </c>
      <c r="S645" s="293">
        <v>364281.45</v>
      </c>
      <c r="T645" s="293">
        <v>369173.3</v>
      </c>
      <c r="U645" s="293">
        <v>374542.55</v>
      </c>
      <c r="V645" s="293">
        <v>380866.6</v>
      </c>
      <c r="W645" s="293">
        <v>387548.2</v>
      </c>
      <c r="X645" s="293">
        <v>393792.55</v>
      </c>
      <c r="Y645" s="293">
        <v>399407.49</v>
      </c>
      <c r="Z645" s="293">
        <v>403829.93</v>
      </c>
      <c r="AA645" s="293">
        <v>407457.37</v>
      </c>
      <c r="AB645" s="293">
        <v>4552428.59</v>
      </c>
    </row>
    <row r="646" spans="10:28" ht="15" customHeight="1" x14ac:dyDescent="0.25">
      <c r="J646" s="291" t="str">
        <f xml:space="preserve"> _xll.EPMOlapMemberO("[COSTCENTER].[PARENTH1].[1001]","","1001","","000")</f>
        <v>1001</v>
      </c>
      <c r="K646" s="295" t="str">
        <f xml:space="preserve"> _xll.EPMOlapMemberO("[C_ACCOUNT].[PARENTH1].[A_S7203030]","","A_S7203030","","000")</f>
        <v>A_S7203030</v>
      </c>
      <c r="L646" s="293" t="str">
        <f>_xll.EPMMemberDesc(K646)</f>
        <v>Settled Zap Cap for Business Expense</v>
      </c>
      <c r="M646" s="293">
        <v>0</v>
      </c>
      <c r="N646" s="293">
        <v>0</v>
      </c>
      <c r="O646" s="293">
        <v>0</v>
      </c>
      <c r="P646" s="293">
        <v>63000</v>
      </c>
      <c r="Q646" s="293">
        <v>63140</v>
      </c>
      <c r="R646" s="293">
        <v>63315</v>
      </c>
      <c r="S646" s="293">
        <v>63490</v>
      </c>
      <c r="T646" s="293">
        <v>63700</v>
      </c>
      <c r="U646" s="293">
        <v>63910</v>
      </c>
      <c r="V646" s="293">
        <v>64190</v>
      </c>
      <c r="W646" s="293">
        <v>64470</v>
      </c>
      <c r="X646" s="293">
        <v>64715</v>
      </c>
      <c r="Y646" s="293">
        <v>64925</v>
      </c>
      <c r="Z646" s="293">
        <v>65065</v>
      </c>
      <c r="AA646" s="293">
        <v>65170</v>
      </c>
      <c r="AB646" s="293">
        <v>769090</v>
      </c>
    </row>
    <row r="647" spans="10:28" ht="15" customHeight="1" x14ac:dyDescent="0.2">
      <c r="J647" s="286" t="str">
        <f xml:space="preserve"> _xll.EPMOlapMemberO("[COSTCENTER].[PARENTH1].[1001]","","1001","","000")</f>
        <v>1001</v>
      </c>
      <c r="K647" s="289" t="str">
        <f xml:space="preserve"> _xll.EPMOlapMemberO("[C_ACCOUNT].[PARENTH1].[INTEREST_CHARGES]","","INTEREST_CHARGES","","000")</f>
        <v>INTEREST_CHARGES</v>
      </c>
      <c r="L647" s="286" t="str">
        <f>_xll.EPMMemberDesc(K647)</f>
        <v>INTEREST CHARGES</v>
      </c>
      <c r="M647" s="287">
        <v>0</v>
      </c>
      <c r="N647" s="287">
        <v>0</v>
      </c>
      <c r="O647" s="287">
        <v>0</v>
      </c>
      <c r="P647" s="287">
        <v>9635963.5349030998</v>
      </c>
      <c r="Q647" s="287">
        <v>9689483.1070757005</v>
      </c>
      <c r="R647" s="287">
        <v>9651314.3987726998</v>
      </c>
      <c r="S647" s="287">
        <v>9630849.5629344005</v>
      </c>
      <c r="T647" s="287">
        <v>9544178.4728117008</v>
      </c>
      <c r="U647" s="287">
        <v>9419787.5441616997</v>
      </c>
      <c r="V647" s="287">
        <v>9370556.7441517003</v>
      </c>
      <c r="W647" s="287">
        <v>9286456.0301290005</v>
      </c>
      <c r="X647" s="287">
        <v>9212697.6684156004</v>
      </c>
      <c r="Y647" s="287">
        <v>9169136.7038065996</v>
      </c>
      <c r="Z647" s="287">
        <v>9589962.7777868994</v>
      </c>
      <c r="AA647" s="287">
        <v>10190735.4185434</v>
      </c>
      <c r="AB647" s="287">
        <v>114391121.9634925</v>
      </c>
    </row>
    <row r="648" spans="10:28" ht="15" customHeight="1" x14ac:dyDescent="0.2">
      <c r="J648" s="286" t="str">
        <f xml:space="preserve"> _xll.EPMOlapMemberO("[COSTCENTER].[PARENTH1].[1001]","","1001","","000")</f>
        <v>1001</v>
      </c>
      <c r="K648" s="290" t="str">
        <f xml:space="preserve"> _xll.EPMOlapMemberO("[C_ACCOUNT].[PARENTH1].[INTEREST_EXPENSE]","","INTEREST_EXPENSE","","000")</f>
        <v>INTEREST_EXPENSE</v>
      </c>
      <c r="L648" s="286" t="str">
        <f>_xll.EPMMemberDesc(K648)</f>
        <v>Interest Expense</v>
      </c>
      <c r="M648" s="287">
        <v>0</v>
      </c>
      <c r="N648" s="287">
        <v>0</v>
      </c>
      <c r="O648" s="287">
        <v>0</v>
      </c>
      <c r="P648" s="287">
        <v>11077281.6571251</v>
      </c>
      <c r="Q648" s="287">
        <v>11107754.6973767</v>
      </c>
      <c r="R648" s="287">
        <v>11122506.774311701</v>
      </c>
      <c r="S648" s="287">
        <v>11149731.887945401</v>
      </c>
      <c r="T648" s="287">
        <v>11113216.727737701</v>
      </c>
      <c r="U648" s="287">
        <v>11073126.899814701</v>
      </c>
      <c r="V648" s="287">
        <v>11102803.6569697</v>
      </c>
      <c r="W648" s="287">
        <v>11070710.924218001</v>
      </c>
      <c r="X648" s="287">
        <v>11054210.5132416</v>
      </c>
      <c r="Y648" s="287">
        <v>11048700.5140556</v>
      </c>
      <c r="Z648" s="287">
        <v>11107961.635008899</v>
      </c>
      <c r="AA648" s="287">
        <v>11199174.4177834</v>
      </c>
      <c r="AB648" s="287">
        <v>133227180.3055885</v>
      </c>
    </row>
    <row r="649" spans="10:28" ht="15" customHeight="1" x14ac:dyDescent="0.2">
      <c r="J649" s="286" t="str">
        <f xml:space="preserve"> _xll.EPMOlapMemberO("[COSTCENTER].[PARENTH1].[1001]","","1001","","000")</f>
        <v>1001</v>
      </c>
      <c r="K649" s="294" t="str">
        <f xml:space="preserve"> _xll.EPMOlapMemberO("[C_ACCOUNT].[PARENTH1].[IE_LTD]","","IE_LTD","","000")</f>
        <v>IE_LTD</v>
      </c>
      <c r="L649" s="286" t="str">
        <f>_xll.EPMMemberDesc(K649)</f>
        <v>Interest expense - long-term debt</v>
      </c>
      <c r="M649" s="287">
        <v>0</v>
      </c>
      <c r="N649" s="287">
        <v>0</v>
      </c>
      <c r="O649" s="287">
        <v>0</v>
      </c>
      <c r="P649" s="287">
        <v>10575460.9533333</v>
      </c>
      <c r="Q649" s="287">
        <v>10575460.9533333</v>
      </c>
      <c r="R649" s="287">
        <v>10575460.9533333</v>
      </c>
      <c r="S649" s="287">
        <v>10575460.9533333</v>
      </c>
      <c r="T649" s="287">
        <v>10656909.642777801</v>
      </c>
      <c r="U649" s="287">
        <v>10693785.6277778</v>
      </c>
      <c r="V649" s="287">
        <v>10693785.6277778</v>
      </c>
      <c r="W649" s="287">
        <v>10690050.9677778</v>
      </c>
      <c r="X649" s="287">
        <v>10690050.9677778</v>
      </c>
      <c r="Y649" s="287">
        <v>10690050.9677778</v>
      </c>
      <c r="Z649" s="287">
        <v>10690050.9677778</v>
      </c>
      <c r="AA649" s="287">
        <v>10690050.9677778</v>
      </c>
      <c r="AB649" s="287">
        <v>127796579.5505556</v>
      </c>
    </row>
    <row r="650" spans="10:28" ht="15" customHeight="1" x14ac:dyDescent="0.25">
      <c r="J650" s="291" t="str">
        <f xml:space="preserve"> _xll.EPMOlapMemberO("[COSTCENTER].[PARENTH1].[1001]","","1001","","000")</f>
        <v>1001</v>
      </c>
      <c r="K650" s="295" t="str">
        <f xml:space="preserve"> _xll.EPMOlapMemberO("[C_ACCOUNT].[PARENTH1].[A_7201100]","","A_7201100","","000")</f>
        <v>A_7201100</v>
      </c>
      <c r="L650" s="293" t="str">
        <f>_xll.EPMMemberDesc(K650)</f>
        <v>Amortization of Loss on Reacquired Debt</v>
      </c>
      <c r="M650" s="293">
        <v>0</v>
      </c>
      <c r="N650" s="293">
        <v>0</v>
      </c>
      <c r="O650" s="293">
        <v>0</v>
      </c>
      <c r="P650" s="293">
        <v>69473.83</v>
      </c>
      <c r="Q650" s="293">
        <v>69473.83</v>
      </c>
      <c r="R650" s="293">
        <v>69473.83</v>
      </c>
      <c r="S650" s="293">
        <v>69473.83</v>
      </c>
      <c r="T650" s="293">
        <v>85162.96</v>
      </c>
      <c r="U650" s="293">
        <v>69473.83</v>
      </c>
      <c r="V650" s="293">
        <v>69473.83</v>
      </c>
      <c r="W650" s="293">
        <v>65739.17</v>
      </c>
      <c r="X650" s="293">
        <v>65739.17</v>
      </c>
      <c r="Y650" s="293">
        <v>65739.17</v>
      </c>
      <c r="Z650" s="293">
        <v>65739.17</v>
      </c>
      <c r="AA650" s="293">
        <v>65739.17</v>
      </c>
      <c r="AB650" s="293">
        <v>830701.79</v>
      </c>
    </row>
    <row r="651" spans="10:28" ht="15" customHeight="1" x14ac:dyDescent="0.25">
      <c r="J651" s="291" t="str">
        <f xml:space="preserve"> _xll.EPMOlapMemberO("[COSTCENTER].[PARENTH1].[1001]","","1001","","000")</f>
        <v>1001</v>
      </c>
      <c r="K651" s="295" t="str">
        <f xml:space="preserve"> _xll.EPMOlapMemberO("[C_ACCOUNT].[PARENTH1].[A_7500110]","","A_7500110","","000")</f>
        <v>A_7500110</v>
      </c>
      <c r="L651" s="293" t="str">
        <f>_xll.EPMMemberDesc(K651)</f>
        <v>Interest Exp - Long-term Debt</v>
      </c>
      <c r="M651" s="293">
        <v>0</v>
      </c>
      <c r="N651" s="293">
        <v>0</v>
      </c>
      <c r="O651" s="293">
        <v>0</v>
      </c>
      <c r="P651" s="293">
        <v>10368098.949999999</v>
      </c>
      <c r="Q651" s="293">
        <v>10368098.949999999</v>
      </c>
      <c r="R651" s="293">
        <v>10368098.949999999</v>
      </c>
      <c r="S651" s="293">
        <v>10368098.949999999</v>
      </c>
      <c r="T651" s="293">
        <v>10420664.064999999</v>
      </c>
      <c r="U651" s="293">
        <v>10473229.18</v>
      </c>
      <c r="V651" s="293">
        <v>10473229.18</v>
      </c>
      <c r="W651" s="293">
        <v>10473229.18</v>
      </c>
      <c r="X651" s="293">
        <v>10473229.18</v>
      </c>
      <c r="Y651" s="293">
        <v>10473229.18</v>
      </c>
      <c r="Z651" s="293">
        <v>10473229.18</v>
      </c>
      <c r="AA651" s="293">
        <v>10473229.18</v>
      </c>
      <c r="AB651" s="293">
        <v>125205664.125</v>
      </c>
    </row>
    <row r="652" spans="10:28" ht="15" customHeight="1" x14ac:dyDescent="0.25">
      <c r="J652" s="291" t="str">
        <f xml:space="preserve"> _xll.EPMOlapMemberO("[COSTCENTER].[PARENTH1].[1001]","","1001","","000")</f>
        <v>1001</v>
      </c>
      <c r="K652" s="295" t="str">
        <f xml:space="preserve"> _xll.EPMOlapMemberO("[C_ACCOUNT].[PARENTH1].[A_7500120]","","A_7500120","","000")</f>
        <v>A_7500120</v>
      </c>
      <c r="L652" s="293" t="str">
        <f>_xll.EPMMemberDesc(K652)</f>
        <v>Amortization of discount on Debt</v>
      </c>
      <c r="M652" s="293">
        <v>0</v>
      </c>
      <c r="N652" s="293">
        <v>0</v>
      </c>
      <c r="O652" s="293">
        <v>0</v>
      </c>
      <c r="P652" s="293">
        <v>31308.38</v>
      </c>
      <c r="Q652" s="293">
        <v>31308.38</v>
      </c>
      <c r="R652" s="293">
        <v>31308.38</v>
      </c>
      <c r="S652" s="293">
        <v>31308.38</v>
      </c>
      <c r="T652" s="293">
        <v>31308.38</v>
      </c>
      <c r="U652" s="293">
        <v>31308.38</v>
      </c>
      <c r="V652" s="293">
        <v>31308.38</v>
      </c>
      <c r="W652" s="293">
        <v>31308.38</v>
      </c>
      <c r="X652" s="293">
        <v>31308.38</v>
      </c>
      <c r="Y652" s="293">
        <v>31308.38</v>
      </c>
      <c r="Z652" s="293">
        <v>31308.38</v>
      </c>
      <c r="AA652" s="293">
        <v>31308.38</v>
      </c>
      <c r="AB652" s="293">
        <v>375700.56</v>
      </c>
    </row>
    <row r="653" spans="10:28" ht="15" customHeight="1" x14ac:dyDescent="0.25">
      <c r="J653" s="291" t="str">
        <f xml:space="preserve"> _xll.EPMOlapMemberO("[COSTCENTER].[PARENTH1].[1001]","","1001","","000")</f>
        <v>1001</v>
      </c>
      <c r="K653" s="295" t="str">
        <f xml:space="preserve"> _xll.EPMOlapMemberO("[C_ACCOUNT].[PARENTH1].[A_7500130]","","A_7500130","","000")</f>
        <v>A_7500130</v>
      </c>
      <c r="L653" s="293" t="str">
        <f>_xll.EPMMemberDesc(K653)</f>
        <v>Interest Exp - Amortiz of Fees on Long-term Debt</v>
      </c>
      <c r="M653" s="293">
        <v>0</v>
      </c>
      <c r="N653" s="293">
        <v>0</v>
      </c>
      <c r="O653" s="293">
        <v>0</v>
      </c>
      <c r="P653" s="293">
        <v>106579.7933333</v>
      </c>
      <c r="Q653" s="293">
        <v>106579.7933333</v>
      </c>
      <c r="R653" s="293">
        <v>106579.7933333</v>
      </c>
      <c r="S653" s="293">
        <v>106579.7933333</v>
      </c>
      <c r="T653" s="293">
        <v>119774.23777779999</v>
      </c>
      <c r="U653" s="293">
        <v>119774.23777779999</v>
      </c>
      <c r="V653" s="293">
        <v>119774.23777779999</v>
      </c>
      <c r="W653" s="293">
        <v>119774.23777779999</v>
      </c>
      <c r="X653" s="293">
        <v>119774.23777779999</v>
      </c>
      <c r="Y653" s="293">
        <v>119774.23777779999</v>
      </c>
      <c r="Z653" s="293">
        <v>119774.23777779999</v>
      </c>
      <c r="AA653" s="293">
        <v>119774.23777779999</v>
      </c>
      <c r="AB653" s="293">
        <v>1384513.0755556</v>
      </c>
    </row>
    <row r="654" spans="10:28" ht="15" customHeight="1" x14ac:dyDescent="0.2">
      <c r="J654" s="286" t="str">
        <f xml:space="preserve"> _xll.EPMOlapMemberO("[COSTCENTER].[PARENTH1].[1001]","","1001","","000")</f>
        <v>1001</v>
      </c>
      <c r="K654" s="294" t="str">
        <f xml:space="preserve"> _xll.EPMOlapMemberO("[C_ACCOUNT].[PARENTH1].[IE_OTHER]","","IE_OTHER","","000")</f>
        <v>IE_OTHER</v>
      </c>
      <c r="L654" s="286" t="str">
        <f>_xll.EPMMemberDesc(K654)</f>
        <v>Interest expense - other</v>
      </c>
      <c r="M654" s="287">
        <v>0</v>
      </c>
      <c r="N654" s="287">
        <v>0</v>
      </c>
      <c r="O654" s="287">
        <v>0</v>
      </c>
      <c r="P654" s="287">
        <v>501820.70379180001</v>
      </c>
      <c r="Q654" s="287">
        <v>532293.74404340005</v>
      </c>
      <c r="R654" s="287">
        <v>547045.82097839995</v>
      </c>
      <c r="S654" s="287">
        <v>574270.93461210001</v>
      </c>
      <c r="T654" s="287">
        <v>456307.08495990001</v>
      </c>
      <c r="U654" s="287">
        <v>379341.27203689999</v>
      </c>
      <c r="V654" s="287">
        <v>409018.02919189999</v>
      </c>
      <c r="W654" s="287">
        <v>380659.95644019998</v>
      </c>
      <c r="X654" s="287">
        <v>364159.54546380002</v>
      </c>
      <c r="Y654" s="287">
        <v>358649.54627779999</v>
      </c>
      <c r="Z654" s="287">
        <v>417910.66723109997</v>
      </c>
      <c r="AA654" s="287">
        <v>509123.4500056</v>
      </c>
      <c r="AB654" s="287">
        <v>5430600.7550328998</v>
      </c>
    </row>
    <row r="655" spans="10:28" ht="15" customHeight="1" x14ac:dyDescent="0.25">
      <c r="J655" s="291" t="str">
        <f xml:space="preserve"> _xll.EPMOlapMemberO("[COSTCENTER].[PARENTH1].[1001]","","1001","","000")</f>
        <v>1001</v>
      </c>
      <c r="K655" s="295" t="str">
        <f xml:space="preserve"> _xll.EPMOlapMemberO("[C_ACCOUNT].[PARENTH1].[A_7500030]","","A_7500030","","000")</f>
        <v>A_7500030</v>
      </c>
      <c r="L655" s="293" t="str">
        <f>_xll.EPMMemberDesc(K655)</f>
        <v>Interest Exp - Customer Deposits</v>
      </c>
      <c r="M655" s="293">
        <v>0</v>
      </c>
      <c r="N655" s="293">
        <v>0</v>
      </c>
      <c r="O655" s="293">
        <v>0</v>
      </c>
      <c r="P655" s="293">
        <v>211296.60379180001</v>
      </c>
      <c r="Q655" s="293">
        <v>211384.64404340001</v>
      </c>
      <c r="R655" s="293">
        <v>211472.7209784</v>
      </c>
      <c r="S655" s="293">
        <v>211560.83461210001</v>
      </c>
      <c r="T655" s="293">
        <v>211648.9849599</v>
      </c>
      <c r="U655" s="293">
        <v>211737.17203690001</v>
      </c>
      <c r="V655" s="293">
        <v>211825.39585860001</v>
      </c>
      <c r="W655" s="293">
        <v>211913.65644019999</v>
      </c>
      <c r="X655" s="293">
        <v>212001.9537971</v>
      </c>
      <c r="Y655" s="293">
        <v>212090.28794450001</v>
      </c>
      <c r="Z655" s="293">
        <v>212178.65889779999</v>
      </c>
      <c r="AA655" s="293">
        <v>212267.06667229999</v>
      </c>
      <c r="AB655" s="293">
        <v>2541377.980033</v>
      </c>
    </row>
    <row r="656" spans="10:28" ht="15" customHeight="1" x14ac:dyDescent="0.25">
      <c r="J656" s="291" t="str">
        <f xml:space="preserve"> _xll.EPMOlapMemberO("[COSTCENTER].[PARENTH1].[1001]","","1001","","000")</f>
        <v>1001</v>
      </c>
      <c r="K656" s="295" t="str">
        <f xml:space="preserve"> _xll.EPMOlapMemberO("[C_ACCOUNT].[PARENTH1].[A_7500090]","","A_7500090","","000")</f>
        <v>A_7500090</v>
      </c>
      <c r="L656" s="293" t="str">
        <f>_xll.EPMMemberDesc(K656)</f>
        <v>Interest Exp - Other Short Term Borrowing</v>
      </c>
      <c r="M656" s="293">
        <v>0</v>
      </c>
      <c r="N656" s="293">
        <v>0</v>
      </c>
      <c r="O656" s="293">
        <v>0</v>
      </c>
      <c r="P656" s="293">
        <v>284953.09999999998</v>
      </c>
      <c r="Q656" s="293">
        <v>315845.09999999998</v>
      </c>
      <c r="R656" s="293">
        <v>331038.09999999998</v>
      </c>
      <c r="S656" s="293">
        <v>358721.1</v>
      </c>
      <c r="T656" s="293">
        <v>241162.1</v>
      </c>
      <c r="U656" s="293">
        <v>164477.1</v>
      </c>
      <c r="V656" s="293">
        <v>194421.63333330001</v>
      </c>
      <c r="W656" s="293">
        <v>166320.29999999999</v>
      </c>
      <c r="X656" s="293">
        <v>150020.5916667</v>
      </c>
      <c r="Y656" s="293">
        <v>143622.25833330001</v>
      </c>
      <c r="Z656" s="293">
        <v>201661.00833330001</v>
      </c>
      <c r="AA656" s="293">
        <v>292478.38333330001</v>
      </c>
      <c r="AB656" s="293">
        <v>2844720.7749998998</v>
      </c>
    </row>
    <row r="657" spans="10:28" ht="15" customHeight="1" x14ac:dyDescent="0.25">
      <c r="J657" s="291" t="str">
        <f xml:space="preserve"> _xll.EPMOlapMemberO("[COSTCENTER].[PARENTH1].[1001]","","1001","","000")</f>
        <v>1001</v>
      </c>
      <c r="K657" s="295" t="str">
        <f xml:space="preserve"> _xll.EPMOlapMemberO("[C_ACCOUNT].[PARENTH1].[A_7500220]","","A_7500220","","000")</f>
        <v>A_7500220</v>
      </c>
      <c r="L657" s="293" t="str">
        <f>_xll.EPMMemberDesc(K657)</f>
        <v>Interest Exp - Defd Fuel Clause</v>
      </c>
      <c r="M657" s="293">
        <v>0</v>
      </c>
      <c r="N657" s="293">
        <v>0</v>
      </c>
      <c r="O657" s="293">
        <v>0</v>
      </c>
      <c r="P657" s="293">
        <v>0</v>
      </c>
      <c r="Q657" s="293">
        <v>0</v>
      </c>
      <c r="R657" s="293">
        <v>0</v>
      </c>
      <c r="S657" s="293">
        <v>0</v>
      </c>
      <c r="T657" s="293">
        <v>0</v>
      </c>
      <c r="U657" s="293">
        <v>0</v>
      </c>
      <c r="V657" s="293">
        <v>0</v>
      </c>
      <c r="W657" s="293">
        <v>0</v>
      </c>
      <c r="X657" s="293">
        <v>0</v>
      </c>
      <c r="Y657" s="293">
        <v>-1106</v>
      </c>
      <c r="Z657" s="293">
        <v>-2521</v>
      </c>
      <c r="AA657" s="293">
        <v>-3356</v>
      </c>
      <c r="AB657" s="293">
        <v>-6983</v>
      </c>
    </row>
    <row r="658" spans="10:28" ht="15" customHeight="1" x14ac:dyDescent="0.25">
      <c r="J658" s="291" t="str">
        <f xml:space="preserve"> _xll.EPMOlapMemberO("[COSTCENTER].[PARENTH1].[1001]","","1001","","000")</f>
        <v>1001</v>
      </c>
      <c r="K658" s="295" t="str">
        <f xml:space="preserve"> _xll.EPMOlapMemberO("[C_ACCOUNT].[PARENTH1].[A_7500240]","","A_7500240","","000")</f>
        <v>A_7500240</v>
      </c>
      <c r="L658" s="293" t="str">
        <f>_xll.EPMMemberDesc(K658)</f>
        <v>Interest Exp - Defd Conservation Clause</v>
      </c>
      <c r="M658" s="293">
        <v>0</v>
      </c>
      <c r="N658" s="293">
        <v>0</v>
      </c>
      <c r="O658" s="293">
        <v>0</v>
      </c>
      <c r="P658" s="293">
        <v>-5571</v>
      </c>
      <c r="Q658" s="293">
        <v>-5064</v>
      </c>
      <c r="R658" s="293">
        <v>-4535</v>
      </c>
      <c r="S658" s="293">
        <v>-3989</v>
      </c>
      <c r="T658" s="293">
        <v>-3496</v>
      </c>
      <c r="U658" s="293">
        <v>-3127</v>
      </c>
      <c r="V658" s="293">
        <v>-2771</v>
      </c>
      <c r="W658" s="293">
        <v>-2426</v>
      </c>
      <c r="X658" s="293">
        <v>-2137</v>
      </c>
      <c r="Y658" s="293">
        <v>-1819</v>
      </c>
      <c r="Z658" s="293">
        <v>-1414</v>
      </c>
      <c r="AA658" s="293">
        <v>-919</v>
      </c>
      <c r="AB658" s="293">
        <v>-37268</v>
      </c>
    </row>
    <row r="659" spans="10:28" ht="15" customHeight="1" x14ac:dyDescent="0.25">
      <c r="J659" s="291" t="str">
        <f xml:space="preserve"> _xll.EPMOlapMemberO("[COSTCENTER].[PARENTH1].[1001]","","1001","","000")</f>
        <v>1001</v>
      </c>
      <c r="K659" s="295" t="str">
        <f xml:space="preserve"> _xll.EPMOlapMemberO("[C_ACCOUNT].[PARENTH1].[A_7500250]","","A_7500250","","000")</f>
        <v>A_7500250</v>
      </c>
      <c r="L659" s="293" t="str">
        <f>_xll.EPMMemberDesc(K659)</f>
        <v>Interest Exp - Defd Environmental Clause</v>
      </c>
      <c r="M659" s="293">
        <v>0</v>
      </c>
      <c r="N659" s="293">
        <v>0</v>
      </c>
      <c r="O659" s="293">
        <v>0</v>
      </c>
      <c r="P659" s="293">
        <v>0</v>
      </c>
      <c r="Q659" s="293">
        <v>0</v>
      </c>
      <c r="R659" s="293">
        <v>0</v>
      </c>
      <c r="S659" s="293">
        <v>0</v>
      </c>
      <c r="T659" s="293">
        <v>0</v>
      </c>
      <c r="U659" s="293">
        <v>0</v>
      </c>
      <c r="V659" s="293">
        <v>0</v>
      </c>
      <c r="W659" s="293">
        <v>0</v>
      </c>
      <c r="X659" s="293">
        <v>0</v>
      </c>
      <c r="Y659" s="293">
        <v>-12</v>
      </c>
      <c r="Z659" s="293">
        <v>-136</v>
      </c>
      <c r="AA659" s="293">
        <v>-103</v>
      </c>
      <c r="AB659" s="293">
        <v>-251</v>
      </c>
    </row>
    <row r="660" spans="10:28" ht="15" customHeight="1" x14ac:dyDescent="0.2">
      <c r="J660" s="286" t="str">
        <f xml:space="preserve"> _xll.EPMOlapMemberO("[COSTCENTER].[PARENTH1].[1001]","","1001","","000")</f>
        <v>1001</v>
      </c>
      <c r="K660" s="290" t="str">
        <f xml:space="preserve"> _xll.EPMOlapMemberO("[C_ACCOUNT].[PARENTH1].[ALLOWANCE_BRCNSTRUCT]","","ALLOWANCE_BRCNSTRUCT","","000")</f>
        <v>ALLOWANCE_BRCNSTRUCT</v>
      </c>
      <c r="L660" s="286" t="str">
        <f>_xll.EPMMemberDesc(K660)</f>
        <v>Allowance for borrowed funds used during contruction</v>
      </c>
      <c r="M660" s="287">
        <v>0</v>
      </c>
      <c r="N660" s="287">
        <v>0</v>
      </c>
      <c r="O660" s="287">
        <v>0</v>
      </c>
      <c r="P660" s="287">
        <v>-1441318.122222</v>
      </c>
      <c r="Q660" s="287">
        <v>-1418271.590301</v>
      </c>
      <c r="R660" s="287">
        <v>-1471192.3755389999</v>
      </c>
      <c r="S660" s="287">
        <v>-1518882.325011</v>
      </c>
      <c r="T660" s="287">
        <v>-1569038.254926</v>
      </c>
      <c r="U660" s="287">
        <v>-1653339.3556530001</v>
      </c>
      <c r="V660" s="287">
        <v>-1732246.912818</v>
      </c>
      <c r="W660" s="287">
        <v>-1784254.8940890001</v>
      </c>
      <c r="X660" s="287">
        <v>-1841512.844826</v>
      </c>
      <c r="Y660" s="287">
        <v>-1879563.8102490001</v>
      </c>
      <c r="Z660" s="287">
        <v>-1517998.8572219999</v>
      </c>
      <c r="AA660" s="287">
        <v>-1008438.99924</v>
      </c>
      <c r="AB660" s="287">
        <v>-18836058.342096001</v>
      </c>
    </row>
    <row r="661" spans="10:28" ht="15" customHeight="1" x14ac:dyDescent="0.25">
      <c r="J661" s="291" t="str">
        <f xml:space="preserve"> _xll.EPMOlapMemberO("[COSTCENTER].[PARENTH1].[1001]","","1001","","000")</f>
        <v>1001</v>
      </c>
      <c r="K661" s="292" t="str">
        <f xml:space="preserve"> _xll.EPMOlapMemberO("[C_ACCOUNT].[PARENTH1].[A_7500010]","","A_7500010","","000")</f>
        <v>A_7500010</v>
      </c>
      <c r="L661" s="293" t="str">
        <f>_xll.EPMMemberDesc(K661)</f>
        <v>Interest Exp - Allow for Borrowed Funds AFUDC Debt</v>
      </c>
      <c r="M661" s="293">
        <v>0</v>
      </c>
      <c r="N661" s="293">
        <v>0</v>
      </c>
      <c r="O661" s="293">
        <v>0</v>
      </c>
      <c r="P661" s="293">
        <v>-1441318.122222</v>
      </c>
      <c r="Q661" s="293">
        <v>-1418271.590301</v>
      </c>
      <c r="R661" s="293">
        <v>-1471192.3755389999</v>
      </c>
      <c r="S661" s="293">
        <v>-1518882.325011</v>
      </c>
      <c r="T661" s="293">
        <v>-1569038.254926</v>
      </c>
      <c r="U661" s="293">
        <v>-1653339.3556530001</v>
      </c>
      <c r="V661" s="293">
        <v>-1732246.912818</v>
      </c>
      <c r="W661" s="293">
        <v>-1784254.8940890001</v>
      </c>
      <c r="X661" s="293">
        <v>-1841512.844826</v>
      </c>
      <c r="Y661" s="293">
        <v>-1879563.8102490001</v>
      </c>
      <c r="Z661" s="293">
        <v>-1517998.8572219999</v>
      </c>
      <c r="AA661" s="293">
        <v>-1008438.99924</v>
      </c>
      <c r="AB661" s="293">
        <v>-18836058.342096001</v>
      </c>
    </row>
    <row r="662" spans="10:28" ht="15" customHeight="1" x14ac:dyDescent="0.2">
      <c r="J662" s="286" t="str">
        <f xml:space="preserve"> _xll.EPMOlapMemberO("[COSTCENTER].[PARENTH1].[1001]","","1001","","000")</f>
        <v>1001</v>
      </c>
      <c r="K662" s="289" t="str">
        <f xml:space="preserve"> _xll.EPMOlapMemberO("[C_ACCOUNT].[PARENTH1].[PROVISION_ITAX]","","PROVISION_ITAX","","000")</f>
        <v>PROVISION_ITAX</v>
      </c>
      <c r="L662" s="286" t="str">
        <f>_xll.EPMMemberDesc(K662)</f>
        <v>PROVISION FOR INCOME TAXES</v>
      </c>
      <c r="M662" s="287">
        <v>0</v>
      </c>
      <c r="N662" s="287">
        <v>0</v>
      </c>
      <c r="O662" s="287">
        <v>0</v>
      </c>
      <c r="P662" s="287">
        <v>1878633.92</v>
      </c>
      <c r="Q662" s="287">
        <v>280101.02</v>
      </c>
      <c r="R662" s="287">
        <v>4831659.3</v>
      </c>
      <c r="S662" s="287">
        <v>2442959.02</v>
      </c>
      <c r="T662" s="287">
        <v>5867036.1299999999</v>
      </c>
      <c r="U662" s="287">
        <v>5987693.9000000004</v>
      </c>
      <c r="V662" s="287">
        <v>9280583.5700000003</v>
      </c>
      <c r="W662" s="287">
        <v>10011032.77</v>
      </c>
      <c r="X662" s="287">
        <v>1494536.5</v>
      </c>
      <c r="Y662" s="287">
        <v>6230958.2800000003</v>
      </c>
      <c r="Z662" s="287">
        <v>1999652.26</v>
      </c>
      <c r="AA662" s="287">
        <v>2899974.04</v>
      </c>
      <c r="AB662" s="287">
        <v>53204820.710000001</v>
      </c>
    </row>
    <row r="663" spans="10:28" ht="15" customHeight="1" x14ac:dyDescent="0.2">
      <c r="J663" s="286" t="str">
        <f xml:space="preserve"> _xll.EPMOlapMemberO("[COSTCENTER].[PARENTH1].[1001]","","1001","","000")</f>
        <v>1001</v>
      </c>
      <c r="K663" s="290" t="str">
        <f xml:space="preserve"> _xll.EPMOlapMemberO("[C_ACCOUNT].[PARENTH1].[CUR_IT_EXP]","","CUR_IT_EXP","","000")</f>
        <v>CUR_IT_EXP</v>
      </c>
      <c r="L663" s="286" t="str">
        <f>_xll.EPMMemberDesc(K663)</f>
        <v>Current income tax expense</v>
      </c>
      <c r="M663" s="287">
        <v>0</v>
      </c>
      <c r="N663" s="287">
        <v>0</v>
      </c>
      <c r="O663" s="287">
        <v>0</v>
      </c>
      <c r="P663" s="287">
        <v>-5308034.5599999996</v>
      </c>
      <c r="Q663" s="287">
        <v>-8682530.1400000006</v>
      </c>
      <c r="R663" s="287">
        <v>-2441836.2999999998</v>
      </c>
      <c r="S663" s="287">
        <v>-168314.22</v>
      </c>
      <c r="T663" s="287">
        <v>2349413.25</v>
      </c>
      <c r="U663" s="287">
        <v>4887814.63</v>
      </c>
      <c r="V663" s="287">
        <v>6936291.5499999998</v>
      </c>
      <c r="W663" s="287">
        <v>7133507.6699999999</v>
      </c>
      <c r="X663" s="287">
        <v>6353903.3600000003</v>
      </c>
      <c r="Y663" s="287">
        <v>3288273.11</v>
      </c>
      <c r="Z663" s="287">
        <v>-431950.59</v>
      </c>
      <c r="AA663" s="287">
        <v>-1756044.06</v>
      </c>
      <c r="AB663" s="287">
        <v>12160493.699999999</v>
      </c>
    </row>
    <row r="664" spans="10:28" ht="15" customHeight="1" x14ac:dyDescent="0.25">
      <c r="J664" s="291" t="str">
        <f xml:space="preserve"> _xll.EPMOlapMemberO("[COSTCENTER].[PARENTH1].[1001]","","1001","","000")</f>
        <v>1001</v>
      </c>
      <c r="K664" s="292" t="str">
        <f xml:space="preserve"> _xll.EPMOlapMemberO("[C_ACCOUNT].[PARENTH1].[A_8000300]","","A_8000300","","000")</f>
        <v>A_8000300</v>
      </c>
      <c r="L664" s="293" t="str">
        <f>_xll.EPMMemberDesc(K664)</f>
        <v>Federal Income Tax Expense</v>
      </c>
      <c r="M664" s="293">
        <v>0</v>
      </c>
      <c r="N664" s="293">
        <v>0</v>
      </c>
      <c r="O664" s="293">
        <v>0</v>
      </c>
      <c r="P664" s="293">
        <v>-134902.26999999999</v>
      </c>
      <c r="Q664" s="293">
        <v>-29038.97</v>
      </c>
      <c r="R664" s="293">
        <v>-15402.15</v>
      </c>
      <c r="S664" s="293">
        <v>-9677.39</v>
      </c>
      <c r="T664" s="293">
        <v>-24043.07</v>
      </c>
      <c r="U664" s="293">
        <v>-28844.92</v>
      </c>
      <c r="V664" s="293">
        <v>-27634.5</v>
      </c>
      <c r="W664" s="293">
        <v>8018.91</v>
      </c>
      <c r="X664" s="293">
        <v>9436.85</v>
      </c>
      <c r="Y664" s="293">
        <v>-6346.79</v>
      </c>
      <c r="Z664" s="293">
        <v>8400.1200000000008</v>
      </c>
      <c r="AA664" s="293">
        <v>11228.32</v>
      </c>
      <c r="AB664" s="293">
        <v>-238805.86</v>
      </c>
    </row>
    <row r="665" spans="10:28" ht="15" customHeight="1" x14ac:dyDescent="0.25">
      <c r="J665" s="291" t="str">
        <f xml:space="preserve"> _xll.EPMOlapMemberO("[COSTCENTER].[PARENTH1].[1001]","","1001","","000")</f>
        <v>1001</v>
      </c>
      <c r="K665" s="292" t="str">
        <f xml:space="preserve"> _xll.EPMOlapMemberO("[C_ACCOUNT].[PARENTH1].[A_8000310]","","A_8000310","","000")</f>
        <v>A_8000310</v>
      </c>
      <c r="L665" s="293" t="str">
        <f>_xll.EPMMemberDesc(K665)</f>
        <v>Federal Income Tax Expense - Above Line</v>
      </c>
      <c r="M665" s="293">
        <v>0</v>
      </c>
      <c r="N665" s="293">
        <v>0</v>
      </c>
      <c r="O665" s="293">
        <v>0</v>
      </c>
      <c r="P665" s="293">
        <v>-5173132.29</v>
      </c>
      <c r="Q665" s="293">
        <v>-8653491.1699999999</v>
      </c>
      <c r="R665" s="293">
        <v>-2426434.15</v>
      </c>
      <c r="S665" s="293">
        <v>-158636.82999999999</v>
      </c>
      <c r="T665" s="293">
        <v>2373456.3199999998</v>
      </c>
      <c r="U665" s="293">
        <v>4916659.55</v>
      </c>
      <c r="V665" s="293">
        <v>6963926.0499999998</v>
      </c>
      <c r="W665" s="293">
        <v>7125488.7599999998</v>
      </c>
      <c r="X665" s="293">
        <v>6344466.5099999998</v>
      </c>
      <c r="Y665" s="293">
        <v>3294619.9</v>
      </c>
      <c r="Z665" s="293">
        <v>-440350.71</v>
      </c>
      <c r="AA665" s="293">
        <v>-1767272.38</v>
      </c>
      <c r="AB665" s="293">
        <v>12399299.560000001</v>
      </c>
    </row>
    <row r="666" spans="10:28" ht="15" customHeight="1" x14ac:dyDescent="0.25">
      <c r="J666" s="291" t="str">
        <f xml:space="preserve"> _xll.EPMOlapMemberO("[COSTCENTER].[PARENTH1].[1001]","","1001","","000")</f>
        <v>1001</v>
      </c>
      <c r="K666" s="292" t="str">
        <f xml:space="preserve"> _xll.EPMOlapMemberO("[C_ACCOUNT].[PARENTH1].[A_8000400]","","A_8000400","","000")</f>
        <v>A_8000400</v>
      </c>
      <c r="L666" s="293" t="str">
        <f>_xll.EPMMemberDesc(K666)</f>
        <v>State Income Tax Expense</v>
      </c>
      <c r="M666" s="293">
        <v>0</v>
      </c>
      <c r="N666" s="293">
        <v>0</v>
      </c>
      <c r="O666" s="293">
        <v>0</v>
      </c>
      <c r="P666" s="293">
        <v>-29974.07</v>
      </c>
      <c r="Q666" s="293">
        <v>-6452.2</v>
      </c>
      <c r="R666" s="293">
        <v>-3422.22</v>
      </c>
      <c r="S666" s="293">
        <v>-2150.2199999999998</v>
      </c>
      <c r="T666" s="293">
        <v>-5342.16</v>
      </c>
      <c r="U666" s="293">
        <v>-6409.08</v>
      </c>
      <c r="V666" s="293">
        <v>-6140.14</v>
      </c>
      <c r="W666" s="293">
        <v>1781.73</v>
      </c>
      <c r="X666" s="293">
        <v>2096.79</v>
      </c>
      <c r="Y666" s="293">
        <v>-1410.2</v>
      </c>
      <c r="Z666" s="293">
        <v>1866.43</v>
      </c>
      <c r="AA666" s="293">
        <v>2494.83</v>
      </c>
      <c r="AB666" s="293">
        <v>-53060.51</v>
      </c>
    </row>
    <row r="667" spans="10:28" ht="15" customHeight="1" x14ac:dyDescent="0.25">
      <c r="J667" s="291" t="str">
        <f xml:space="preserve"> _xll.EPMOlapMemberO("[COSTCENTER].[PARENTH1].[1001]","","1001","","000")</f>
        <v>1001</v>
      </c>
      <c r="K667" s="292" t="str">
        <f xml:space="preserve"> _xll.EPMOlapMemberO("[C_ACCOUNT].[PARENTH1].[A_8000410]","","A_8000410","","000")</f>
        <v>A_8000410</v>
      </c>
      <c r="L667" s="293" t="str">
        <f>_xll.EPMMemberDesc(K667)</f>
        <v>State Income Tax Expense - Above Line</v>
      </c>
      <c r="M667" s="293">
        <v>0</v>
      </c>
      <c r="N667" s="293">
        <v>0</v>
      </c>
      <c r="O667" s="293">
        <v>0</v>
      </c>
      <c r="P667" s="293">
        <v>29974.07</v>
      </c>
      <c r="Q667" s="293">
        <v>6452.2</v>
      </c>
      <c r="R667" s="293">
        <v>3422.22</v>
      </c>
      <c r="S667" s="293">
        <v>2150.2199999999998</v>
      </c>
      <c r="T667" s="293">
        <v>5342.16</v>
      </c>
      <c r="U667" s="293">
        <v>6409.08</v>
      </c>
      <c r="V667" s="293">
        <v>6140.14</v>
      </c>
      <c r="W667" s="293">
        <v>-1781.73</v>
      </c>
      <c r="X667" s="293">
        <v>-2096.79</v>
      </c>
      <c r="Y667" s="293">
        <v>1410.2</v>
      </c>
      <c r="Z667" s="293">
        <v>-1866.43</v>
      </c>
      <c r="AA667" s="293">
        <v>-2494.83</v>
      </c>
      <c r="AB667" s="293">
        <v>53060.51</v>
      </c>
    </row>
    <row r="668" spans="10:28" ht="15" customHeight="1" x14ac:dyDescent="0.2">
      <c r="J668" s="286" t="str">
        <f xml:space="preserve"> _xll.EPMOlapMemberO("[COSTCENTER].[PARENTH1].[1001]","","1001","","000")</f>
        <v>1001</v>
      </c>
      <c r="K668" s="290" t="str">
        <f xml:space="preserve"> _xll.EPMOlapMemberO("[C_ACCOUNT].[PARENTH1].[DEF_IT_EXP]","","DEF_IT_EXP","","000")</f>
        <v>DEF_IT_EXP</v>
      </c>
      <c r="L668" s="286" t="str">
        <f>_xll.EPMMemberDesc(K668)</f>
        <v>Deferred income tax expense</v>
      </c>
      <c r="M668" s="287">
        <v>0</v>
      </c>
      <c r="N668" s="287">
        <v>0</v>
      </c>
      <c r="O668" s="287">
        <v>0</v>
      </c>
      <c r="P668" s="287">
        <v>-15297115.92</v>
      </c>
      <c r="Q668" s="287">
        <v>9786507.2300000004</v>
      </c>
      <c r="R668" s="287">
        <v>8097371.6299999999</v>
      </c>
      <c r="S668" s="287">
        <v>3435149.25</v>
      </c>
      <c r="T668" s="287">
        <v>4341498.96</v>
      </c>
      <c r="U668" s="287">
        <v>1923755.33</v>
      </c>
      <c r="V668" s="287">
        <v>3168167.98</v>
      </c>
      <c r="W668" s="287">
        <v>3701401.18</v>
      </c>
      <c r="X668" s="287">
        <v>-4035490.81</v>
      </c>
      <c r="Y668" s="287">
        <v>3766561.16</v>
      </c>
      <c r="Z668" s="287">
        <v>-41923385.340000004</v>
      </c>
      <c r="AA668" s="287">
        <v>5479894.1200000001</v>
      </c>
      <c r="AB668" s="287">
        <v>-17555685.23</v>
      </c>
    </row>
    <row r="669" spans="10:28" ht="15" customHeight="1" x14ac:dyDescent="0.25">
      <c r="J669" s="291" t="str">
        <f xml:space="preserve"> _xll.EPMOlapMemberO("[COSTCENTER].[PARENTH1].[1001]","","1001","","000")</f>
        <v>1001</v>
      </c>
      <c r="K669" s="292" t="str">
        <f xml:space="preserve"> _xll.EPMOlapMemberO("[C_ACCOUNT].[PARENTH1].[A_8010300]","","A_8010300","","000")</f>
        <v>A_8010300</v>
      </c>
      <c r="L669" s="293" t="str">
        <f>_xll.EPMMemberDesc(K669)</f>
        <v>Deferred Federal Income Tax Exp</v>
      </c>
      <c r="M669" s="293">
        <v>0</v>
      </c>
      <c r="N669" s="293">
        <v>0</v>
      </c>
      <c r="O669" s="293">
        <v>0</v>
      </c>
      <c r="P669" s="293">
        <v>11328167.09</v>
      </c>
      <c r="Q669" s="293">
        <v>13265449.75</v>
      </c>
      <c r="R669" s="293">
        <v>11582558.25</v>
      </c>
      <c r="S669" s="293">
        <v>6151228.8300000001</v>
      </c>
      <c r="T669" s="293">
        <v>6189311.0800000001</v>
      </c>
      <c r="U669" s="293">
        <v>6158822.7800000003</v>
      </c>
      <c r="V669" s="293">
        <v>6257276.4400000004</v>
      </c>
      <c r="W669" s="293">
        <v>6285085.4199999999</v>
      </c>
      <c r="X669" s="293">
        <v>6163141.0700000003</v>
      </c>
      <c r="Y669" s="293">
        <v>5889824.9299999997</v>
      </c>
      <c r="Z669" s="293">
        <v>5902410.2300000004</v>
      </c>
      <c r="AA669" s="293">
        <v>8685469.0500000007</v>
      </c>
      <c r="AB669" s="293">
        <v>93858744.920000002</v>
      </c>
    </row>
    <row r="670" spans="10:28" ht="15" customHeight="1" x14ac:dyDescent="0.25">
      <c r="J670" s="291" t="str">
        <f xml:space="preserve"> _xll.EPMOlapMemberO("[COSTCENTER].[PARENTH1].[1001]","","1001","","000")</f>
        <v>1001</v>
      </c>
      <c r="K670" s="292" t="str">
        <f xml:space="preserve"> _xll.EPMOlapMemberO("[C_ACCOUNT].[PARENTH1].[A_8010310]","","A_8010310","","000")</f>
        <v>A_8010310</v>
      </c>
      <c r="L670" s="293" t="str">
        <f>_xll.EPMMemberDesc(K670)</f>
        <v>Deferred Federal Income Tax Exp - Cr</v>
      </c>
      <c r="M670" s="293">
        <v>0</v>
      </c>
      <c r="N670" s="293">
        <v>0</v>
      </c>
      <c r="O670" s="293">
        <v>0</v>
      </c>
      <c r="P670" s="293">
        <v>-27453359.07</v>
      </c>
      <c r="Q670" s="293">
        <v>-4029084.19</v>
      </c>
      <c r="R670" s="293">
        <v>-4041694.41</v>
      </c>
      <c r="S670" s="293">
        <v>-3675454.87</v>
      </c>
      <c r="T670" s="293">
        <v>-3429675.51</v>
      </c>
      <c r="U670" s="293">
        <v>-5995293.9100000001</v>
      </c>
      <c r="V670" s="293">
        <v>-5293675.09</v>
      </c>
      <c r="W670" s="293">
        <v>-4918220.5599999996</v>
      </c>
      <c r="X670" s="293">
        <v>-12039894.85</v>
      </c>
      <c r="Y670" s="293">
        <v>-3770975.02</v>
      </c>
      <c r="Z670" s="293">
        <v>-48704288.93</v>
      </c>
      <c r="AA670" s="293">
        <v>-3969027.67</v>
      </c>
      <c r="AB670" s="293">
        <v>-127320644.08</v>
      </c>
    </row>
    <row r="671" spans="10:28" ht="15" customHeight="1" x14ac:dyDescent="0.25">
      <c r="J671" s="291" t="str">
        <f xml:space="preserve"> _xll.EPMOlapMemberO("[COSTCENTER].[PARENTH1].[1001]","","1001","","000")</f>
        <v>1001</v>
      </c>
      <c r="K671" s="292" t="str">
        <f xml:space="preserve"> _xll.EPMOlapMemberO("[C_ACCOUNT].[PARENTH1].[A_8010320]","","A_8010320","","000")</f>
        <v>A_8010320</v>
      </c>
      <c r="L671" s="293" t="str">
        <f>_xll.EPMMemberDesc(K671)</f>
        <v>DIT Federal Accelerated Amortization Property</v>
      </c>
      <c r="M671" s="293">
        <v>0</v>
      </c>
      <c r="N671" s="293">
        <v>0</v>
      </c>
      <c r="O671" s="293">
        <v>0</v>
      </c>
      <c r="P671" s="293">
        <v>30268.92</v>
      </c>
      <c r="Q671" s="293">
        <v>30268.93</v>
      </c>
      <c r="R671" s="293">
        <v>30268.92</v>
      </c>
      <c r="S671" s="293">
        <v>30268.92</v>
      </c>
      <c r="T671" s="293">
        <v>30268.93</v>
      </c>
      <c r="U671" s="293">
        <v>30268.92</v>
      </c>
      <c r="V671" s="293">
        <v>30268.94</v>
      </c>
      <c r="W671" s="293">
        <v>30268.92</v>
      </c>
      <c r="X671" s="293">
        <v>30268.92</v>
      </c>
      <c r="Y671" s="293">
        <v>30268.93</v>
      </c>
      <c r="Z671" s="293">
        <v>30268.92</v>
      </c>
      <c r="AA671" s="293">
        <v>30268.92</v>
      </c>
      <c r="AB671" s="293">
        <v>363227.09</v>
      </c>
    </row>
    <row r="672" spans="10:28" ht="15" customHeight="1" x14ac:dyDescent="0.25">
      <c r="J672" s="291" t="str">
        <f xml:space="preserve"> _xll.EPMOlapMemberO("[COSTCENTER].[PARENTH1].[1001]","","1001","","000")</f>
        <v>1001</v>
      </c>
      <c r="K672" s="292" t="str">
        <f xml:space="preserve"> _xll.EPMOlapMemberO("[C_ACCOUNT].[PARENTH1].[A_8010330]","","A_8010330","","000")</f>
        <v>A_8010330</v>
      </c>
      <c r="L672" s="293" t="str">
        <f>_xll.EPMMemberDesc(K672)</f>
        <v>DIT Federal Accelerated Amortization Property - Cr</v>
      </c>
      <c r="M672" s="293">
        <v>0</v>
      </c>
      <c r="N672" s="293">
        <v>0</v>
      </c>
      <c r="O672" s="293">
        <v>0</v>
      </c>
      <c r="P672" s="293">
        <v>-2857.04</v>
      </c>
      <c r="Q672" s="293">
        <v>-2857.04</v>
      </c>
      <c r="R672" s="293">
        <v>-2857.04</v>
      </c>
      <c r="S672" s="293">
        <v>-2857.05</v>
      </c>
      <c r="T672" s="293">
        <v>-2857.04</v>
      </c>
      <c r="U672" s="293">
        <v>-2857.04</v>
      </c>
      <c r="V672" s="293">
        <v>-2857.05</v>
      </c>
      <c r="W672" s="293">
        <v>-2857.04</v>
      </c>
      <c r="X672" s="293">
        <v>-2857.04</v>
      </c>
      <c r="Y672" s="293">
        <v>-2857.04</v>
      </c>
      <c r="Z672" s="293">
        <v>-2857.05</v>
      </c>
      <c r="AA672" s="293">
        <v>-2857.04</v>
      </c>
      <c r="AB672" s="293">
        <v>-34284.51</v>
      </c>
    </row>
    <row r="673" spans="10:28" ht="15" customHeight="1" x14ac:dyDescent="0.25">
      <c r="J673" s="291" t="str">
        <f xml:space="preserve"> _xll.EPMOlapMemberO("[COSTCENTER].[PARENTH1].[1001]","","1001","","000")</f>
        <v>1001</v>
      </c>
      <c r="K673" s="292" t="str">
        <f xml:space="preserve"> _xll.EPMOlapMemberO("[C_ACCOUNT].[PARENTH1].[A_8010400]","","A_8010400","","000")</f>
        <v>A_8010400</v>
      </c>
      <c r="L673" s="293" t="str">
        <f>_xll.EPMMemberDesc(K673)</f>
        <v>Deferred State Income Tax Exp</v>
      </c>
      <c r="M673" s="293">
        <v>0</v>
      </c>
      <c r="N673" s="293">
        <v>0</v>
      </c>
      <c r="O673" s="293">
        <v>0</v>
      </c>
      <c r="P673" s="293">
        <v>6897338.7300000004</v>
      </c>
      <c r="Q673" s="293">
        <v>8798278.25</v>
      </c>
      <c r="R673" s="293">
        <v>4624304.3899999997</v>
      </c>
      <c r="S673" s="293">
        <v>4014236.05</v>
      </c>
      <c r="T673" s="293">
        <v>4181349.12</v>
      </c>
      <c r="U673" s="293">
        <v>5670668.9100000001</v>
      </c>
      <c r="V673" s="293">
        <v>6636506.3600000003</v>
      </c>
      <c r="W673" s="293">
        <v>6566293.9299999997</v>
      </c>
      <c r="X673" s="293">
        <v>6523865.9199999999</v>
      </c>
      <c r="Y673" s="293">
        <v>4539168.34</v>
      </c>
      <c r="Z673" s="293">
        <v>3891303.63</v>
      </c>
      <c r="AA673" s="293">
        <v>4521769.92</v>
      </c>
      <c r="AB673" s="293">
        <v>66865083.549999997</v>
      </c>
    </row>
    <row r="674" spans="10:28" ht="15" customHeight="1" x14ac:dyDescent="0.25">
      <c r="J674" s="291" t="str">
        <f xml:space="preserve"> _xll.EPMOlapMemberO("[COSTCENTER].[PARENTH1].[1001]","","1001","","000")</f>
        <v>1001</v>
      </c>
      <c r="K674" s="292" t="str">
        <f xml:space="preserve"> _xll.EPMOlapMemberO("[C_ACCOUNT].[PARENTH1].[A_8010410]","","A_8010410","","000")</f>
        <v>A_8010410</v>
      </c>
      <c r="L674" s="293" t="str">
        <f>_xll.EPMMemberDesc(K674)</f>
        <v>Deferred State Income Tax Exp - Cr</v>
      </c>
      <c r="M674" s="293">
        <v>0</v>
      </c>
      <c r="N674" s="293">
        <v>0</v>
      </c>
      <c r="O674" s="293">
        <v>0</v>
      </c>
      <c r="P674" s="293">
        <v>-6105805.1299999999</v>
      </c>
      <c r="Q674" s="293">
        <v>-8284679.0599999996</v>
      </c>
      <c r="R674" s="293">
        <v>-4104339.06</v>
      </c>
      <c r="S674" s="293">
        <v>-3091403.21</v>
      </c>
      <c r="T674" s="293">
        <v>-2636028.21</v>
      </c>
      <c r="U674" s="293">
        <v>-3946984.91</v>
      </c>
      <c r="V674" s="293">
        <v>-4468482.2</v>
      </c>
      <c r="W674" s="293">
        <v>-4268300.08</v>
      </c>
      <c r="X674" s="293">
        <v>-4719145.41</v>
      </c>
      <c r="Y674" s="293">
        <v>-2927999.56</v>
      </c>
      <c r="Z674" s="293">
        <v>-3049352.73</v>
      </c>
      <c r="AA674" s="293">
        <v>-3794859.64</v>
      </c>
      <c r="AB674" s="293">
        <v>-51397379.200000003</v>
      </c>
    </row>
    <row r="675" spans="10:28" ht="15" customHeight="1" x14ac:dyDescent="0.25">
      <c r="J675" s="291" t="str">
        <f xml:space="preserve"> _xll.EPMOlapMemberO("[COSTCENTER].[PARENTH1].[1001]","","1001","","000")</f>
        <v>1001</v>
      </c>
      <c r="K675" s="292" t="str">
        <f xml:space="preserve"> _xll.EPMOlapMemberO("[C_ACCOUNT].[PARENTH1].[A_8010420]","","A_8010420","","000")</f>
        <v>A_8010420</v>
      </c>
      <c r="L675" s="293" t="str">
        <f>_xll.EPMMemberDesc(K675)</f>
        <v>DIT State Accelerated Amortization Property</v>
      </c>
      <c r="M675" s="293">
        <v>0</v>
      </c>
      <c r="N675" s="293">
        <v>0</v>
      </c>
      <c r="O675" s="293">
        <v>0</v>
      </c>
      <c r="P675" s="293">
        <v>16644.87</v>
      </c>
      <c r="Q675" s="293">
        <v>16644.88</v>
      </c>
      <c r="R675" s="293">
        <v>16644.87</v>
      </c>
      <c r="S675" s="293">
        <v>16644.87</v>
      </c>
      <c r="T675" s="293">
        <v>16644.88</v>
      </c>
      <c r="U675" s="293">
        <v>16644.87</v>
      </c>
      <c r="V675" s="293">
        <v>16644.87</v>
      </c>
      <c r="W675" s="293">
        <v>16644.88</v>
      </c>
      <c r="X675" s="293">
        <v>16644.87</v>
      </c>
      <c r="Y675" s="293">
        <v>16644.87</v>
      </c>
      <c r="Z675" s="293">
        <v>16644.87</v>
      </c>
      <c r="AA675" s="293">
        <v>16644.87</v>
      </c>
      <c r="AB675" s="293">
        <v>199738.47</v>
      </c>
    </row>
    <row r="676" spans="10:28" ht="15" customHeight="1" x14ac:dyDescent="0.25">
      <c r="J676" s="291" t="str">
        <f xml:space="preserve"> _xll.EPMOlapMemberO("[COSTCENTER].[PARENTH1].[1001]","","1001","","000")</f>
        <v>1001</v>
      </c>
      <c r="K676" s="292" t="str">
        <f xml:space="preserve"> _xll.EPMOlapMemberO("[C_ACCOUNT].[PARENTH1].[A_8010430]","","A_8010430","","000")</f>
        <v>A_8010430</v>
      </c>
      <c r="L676" s="293" t="str">
        <f>_xll.EPMMemberDesc(K676)</f>
        <v>DIT State Accelerated Amortization Property - Cr</v>
      </c>
      <c r="M676" s="293">
        <v>0</v>
      </c>
      <c r="N676" s="293">
        <v>0</v>
      </c>
      <c r="O676" s="293">
        <v>0</v>
      </c>
      <c r="P676" s="293">
        <v>-7514.29</v>
      </c>
      <c r="Q676" s="293">
        <v>-7514.29</v>
      </c>
      <c r="R676" s="293">
        <v>-7514.29</v>
      </c>
      <c r="S676" s="293">
        <v>-7514.29</v>
      </c>
      <c r="T676" s="293">
        <v>-7514.29</v>
      </c>
      <c r="U676" s="293">
        <v>-7514.29</v>
      </c>
      <c r="V676" s="293">
        <v>-7514.29</v>
      </c>
      <c r="W676" s="293">
        <v>-7514.29</v>
      </c>
      <c r="X676" s="293">
        <v>-7514.29</v>
      </c>
      <c r="Y676" s="293">
        <v>-7514.29</v>
      </c>
      <c r="Z676" s="293">
        <v>-7514.28</v>
      </c>
      <c r="AA676" s="293">
        <v>-7514.29</v>
      </c>
      <c r="AB676" s="293">
        <v>-90171.47</v>
      </c>
    </row>
    <row r="677" spans="10:28" ht="15" customHeight="1" x14ac:dyDescent="0.2">
      <c r="J677" s="286" t="str">
        <f xml:space="preserve"> _xll.EPMOlapMemberO("[COSTCENTER].[PARENTH1].[1001]","","1001","","000")</f>
        <v>1001</v>
      </c>
      <c r="K677" s="290" t="str">
        <f xml:space="preserve"> _xll.EPMOlapMemberO("[C_ACCOUNT].[PARENTH1].[AMORT_IT_CR]","","AMORT_IT_CR","","000")</f>
        <v>AMORT_IT_CR</v>
      </c>
      <c r="L677" s="286" t="str">
        <f>_xll.EPMMemberDesc(K677)</f>
        <v>Amortization of investment tax credits</v>
      </c>
      <c r="M677" s="287">
        <v>0</v>
      </c>
      <c r="N677" s="287">
        <v>0</v>
      </c>
      <c r="O677" s="287">
        <v>0</v>
      </c>
      <c r="P677" s="287">
        <v>22483784.399999999</v>
      </c>
      <c r="Q677" s="287">
        <v>-823876.07</v>
      </c>
      <c r="R677" s="287">
        <v>-823876.03</v>
      </c>
      <c r="S677" s="287">
        <v>-823876.01</v>
      </c>
      <c r="T677" s="287">
        <v>-823876.08</v>
      </c>
      <c r="U677" s="287">
        <v>-823876.06</v>
      </c>
      <c r="V677" s="287">
        <v>-823875.96</v>
      </c>
      <c r="W677" s="287">
        <v>-823876.08</v>
      </c>
      <c r="X677" s="287">
        <v>-823876.05</v>
      </c>
      <c r="Y677" s="287">
        <v>-823875.99</v>
      </c>
      <c r="Z677" s="287">
        <v>44354988.189999998</v>
      </c>
      <c r="AA677" s="287">
        <v>-823876.02</v>
      </c>
      <c r="AB677" s="287">
        <v>58600012.240000002</v>
      </c>
    </row>
    <row r="678" spans="10:28" ht="15" customHeight="1" x14ac:dyDescent="0.25">
      <c r="J678" s="291" t="str">
        <f xml:space="preserve"> _xll.EPMOlapMemberO("[COSTCENTER].[PARENTH1].[1001]","","1001","","000")</f>
        <v>1001</v>
      </c>
      <c r="K678" s="292" t="str">
        <f xml:space="preserve"> _xll.EPMOlapMemberO("[C_ACCOUNT].[PARENTH1].[A_8010600]","","A_8010600","","000")</f>
        <v>A_8010600</v>
      </c>
      <c r="L678" s="293" t="str">
        <f>_xll.EPMMemberDesc(K678)</f>
        <v>Investment Tax Credit Amort - Utility</v>
      </c>
      <c r="M678" s="293">
        <v>0</v>
      </c>
      <c r="N678" s="293">
        <v>0</v>
      </c>
      <c r="O678" s="293">
        <v>0</v>
      </c>
      <c r="P678" s="293">
        <v>22483785.84</v>
      </c>
      <c r="Q678" s="293">
        <v>-823874.63</v>
      </c>
      <c r="R678" s="293">
        <v>-823874.58</v>
      </c>
      <c r="S678" s="293">
        <v>-823874.57</v>
      </c>
      <c r="T678" s="293">
        <v>-823874.64</v>
      </c>
      <c r="U678" s="293">
        <v>-823874.62</v>
      </c>
      <c r="V678" s="293">
        <v>-823874.52</v>
      </c>
      <c r="W678" s="293">
        <v>-823874.64</v>
      </c>
      <c r="X678" s="293">
        <v>-823874.6</v>
      </c>
      <c r="Y678" s="293">
        <v>-823874.55</v>
      </c>
      <c r="Z678" s="293">
        <v>44354989.630000003</v>
      </c>
      <c r="AA678" s="293">
        <v>-823874.58</v>
      </c>
      <c r="AB678" s="293">
        <v>58600029.539999999</v>
      </c>
    </row>
    <row r="679" spans="10:28" ht="15" customHeight="1" x14ac:dyDescent="0.25">
      <c r="J679" s="291" t="str">
        <f xml:space="preserve"> _xll.EPMOlapMemberO("[COSTCENTER].[PARENTH1].[1001]","","1001","","000")</f>
        <v>1001</v>
      </c>
      <c r="K679" s="292" t="str">
        <f xml:space="preserve"> _xll.EPMOlapMemberO("[C_ACCOUNT].[PARENTH1].[A_8010610]","","A_8010610","","000")</f>
        <v>A_8010610</v>
      </c>
      <c r="L679" s="293" t="str">
        <f>_xll.EPMMemberDesc(K679)</f>
        <v>Investment Tax Credit Amort - Non Utility</v>
      </c>
      <c r="M679" s="293">
        <v>0</v>
      </c>
      <c r="N679" s="293">
        <v>0</v>
      </c>
      <c r="O679" s="293">
        <v>0</v>
      </c>
      <c r="P679" s="293">
        <v>-1.44</v>
      </c>
      <c r="Q679" s="293">
        <v>-1.44</v>
      </c>
      <c r="R679" s="293">
        <v>-1.45</v>
      </c>
      <c r="S679" s="293">
        <v>-1.44</v>
      </c>
      <c r="T679" s="293">
        <v>-1.44</v>
      </c>
      <c r="U679" s="293">
        <v>-1.44</v>
      </c>
      <c r="V679" s="293">
        <v>-1.44</v>
      </c>
      <c r="W679" s="293">
        <v>-1.44</v>
      </c>
      <c r="X679" s="293">
        <v>-1.45</v>
      </c>
      <c r="Y679" s="293">
        <v>-1.44</v>
      </c>
      <c r="Z679" s="293">
        <v>-1.44</v>
      </c>
      <c r="AA679" s="293">
        <v>-1.44</v>
      </c>
      <c r="AB679" s="293">
        <v>-17.3</v>
      </c>
    </row>
  </sheetData>
  <sheetProtection formatColumns="0"/>
  <conditionalFormatting sqref="L4:AB4">
    <cfRule type="expression" dxfId="17" priority="1">
      <formula>$L4="E"</formula>
    </cfRule>
    <cfRule type="expression" dxfId="16" priority="2">
      <formula>$L4="Y"</formula>
    </cfRule>
  </conditionalFormatting>
  <dataValidations count="3">
    <dataValidation type="list" allowBlank="1" showInputMessage="1" showErrorMessage="1" sqref="L21" xr:uid="{F1C4B42E-56D3-46A1-908F-2ABA7C114DE7}">
      <formula1>$G$1:$G$3</formula1>
    </dataValidation>
    <dataValidation type="list" allowBlank="1" showInputMessage="1" showErrorMessage="1" sqref="K5" xr:uid="{2E102D6F-21FB-49EE-B604-F509B8CEAC2E}">
      <formula1>$G$1:$G$2</formula1>
    </dataValidation>
    <dataValidation type="list" allowBlank="1" showInputMessage="1" showErrorMessage="1" sqref="L25" xr:uid="{3DC1A1C8-C76C-42E5-9F17-1D0A34C8D72E}">
      <formula1>$I$1:$I$3</formula1>
    </dataValidation>
  </dataValidations>
  <pageMargins left="0.25" right="0.25" top="0.75" bottom="0.75" header="0.3" footer="0.3"/>
  <pageSetup scale="59" fitToWidth="2" fitToHeight="10" orientation="landscape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2289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2289" r:id="rId5" name="FPMExcelClientSheetOptionstb1"/>
      </mc:Fallback>
    </mc:AlternateContent>
    <mc:AlternateContent xmlns:mc="http://schemas.openxmlformats.org/markup-compatibility/2006">
      <mc:Choice Requires="x14">
        <control shapeId="12290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2290" r:id="rId7" name="ConnectionDescriptorsInfotb1"/>
      </mc:Fallback>
    </mc:AlternateContent>
    <mc:AlternateContent xmlns:mc="http://schemas.openxmlformats.org/markup-compatibility/2006">
      <mc:Choice Requires="x14">
        <control shapeId="12291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2291" r:id="rId9" name="MultipleReportManagerInfotb1"/>
      </mc:Fallback>
    </mc:AlternateContent>
    <mc:AlternateContent xmlns:mc="http://schemas.openxmlformats.org/markup-compatibility/2006">
      <mc:Choice Requires="x14">
        <control shapeId="12292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2292" r:id="rId11" name="AnalyzerDynReport000tb1"/>
      </mc:Fallback>
    </mc:AlternateContent>
    <mc:AlternateContent xmlns:mc="http://schemas.openxmlformats.org/markup-compatibility/2006">
      <mc:Choice Requires="x14">
        <control shapeId="12293" r:id="rId13" name="CustomMemberDispatchertb1">
          <controlPr defaultSize="0" autoLine="0" autoPict="0" r:id="rId14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12293" r:id="rId13" name="CustomMemberDispatchertb1"/>
      </mc:Fallback>
    </mc:AlternateContent>
    <mc:AlternateContent xmlns:mc="http://schemas.openxmlformats.org/markup-compatibility/2006">
      <mc:Choice Requires="x14">
        <control shapeId="12295" r:id="rId15" name="CheckBox1">
          <controlPr defaultSize="0" autoLine="0" linkedCell="R2" r:id="rId16">
            <anchor moveWithCells="1">
              <from>
                <xdr:col>11</xdr:col>
                <xdr:colOff>975360</xdr:colOff>
                <xdr:row>19</xdr:row>
                <xdr:rowOff>114300</xdr:rowOff>
              </from>
              <to>
                <xdr:col>11</xdr:col>
                <xdr:colOff>2346960</xdr:colOff>
                <xdr:row>19</xdr:row>
                <xdr:rowOff>350520</xdr:rowOff>
              </to>
            </anchor>
          </controlPr>
        </control>
      </mc:Choice>
      <mc:Fallback>
        <control shapeId="12295" r:id="rId15" name="CheckBox1"/>
      </mc:Fallback>
    </mc:AlternateContent>
    <mc:AlternateContent xmlns:mc="http://schemas.openxmlformats.org/markup-compatibility/2006">
      <mc:Choice Requires="x14">
        <control shapeId="12294" r:id="rId17" name="Drop Down 6">
          <controlPr defaultSize="0" autoLine="0" autoPict="0">
            <anchor moveWithCells="1">
              <from>
                <xdr:col>14</xdr:col>
                <xdr:colOff>38100</xdr:colOff>
                <xdr:row>26</xdr:row>
                <xdr:rowOff>22860</xdr:rowOff>
              </from>
              <to>
                <xdr:col>15</xdr:col>
                <xdr:colOff>121920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6" r:id="rId18" name="Drop Down 8">
          <controlPr defaultSize="0" autoLine="0" autoPict="0">
            <anchor moveWithCells="1">
              <from>
                <xdr:col>14</xdr:col>
                <xdr:colOff>30480</xdr:colOff>
                <xdr:row>19</xdr:row>
                <xdr:rowOff>373380</xdr:rowOff>
              </from>
              <to>
                <xdr:col>15</xdr:col>
                <xdr:colOff>144780</xdr:colOff>
                <xdr:row>21</xdr:row>
                <xdr:rowOff>0</xdr:rowOff>
              </to>
            </anchor>
          </controlPr>
        </control>
      </mc:Choice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527D-9B12-4641-8C6D-BF6601FBD828}">
  <sheetPr codeName="Sheet1">
    <outlinePr showOutlineSymbols="0"/>
    <pageSetUpPr fitToPage="1"/>
  </sheetPr>
  <dimension ref="A1:AC288"/>
  <sheetViews>
    <sheetView showGridLines="0" showOutlineSymbols="0" zoomScale="70" zoomScaleNormal="70" workbookViewId="0">
      <pane xSplit="14" ySplit="32" topLeftCell="U249" activePane="bottomRight" state="frozen"/>
      <selection pane="topRight" activeCell="O20" sqref="O20"/>
      <selection pane="bottomLeft" activeCell="I33" sqref="I33"/>
      <selection pane="bottomRight" activeCell="I289" sqref="I289:AD289"/>
    </sheetView>
  </sheetViews>
  <sheetFormatPr defaultColWidth="20.6640625" defaultRowHeight="15" customHeight="1" outlineLevelRow="1" outlineLevelCol="1" x14ac:dyDescent="0.2"/>
  <cols>
    <col min="1" max="1" width="15.6640625" style="131" hidden="1" customWidth="1" outlineLevel="1"/>
    <col min="2" max="2" width="20.6640625" style="131" hidden="1" customWidth="1" outlineLevel="1"/>
    <col min="3" max="4" width="15.6640625" style="131" hidden="1" customWidth="1" outlineLevel="1"/>
    <col min="5" max="5" width="18.5546875" style="131" hidden="1" customWidth="1" outlineLevel="1"/>
    <col min="6" max="6" width="12.6640625" style="131" hidden="1" customWidth="1" outlineLevel="1"/>
    <col min="7" max="7" width="12.33203125" style="131" hidden="1" customWidth="1" outlineLevel="1"/>
    <col min="8" max="8" width="12.33203125" style="131" hidden="1" customWidth="1" outlineLevel="1" collapsed="1"/>
    <col min="9" max="9" width="2.6640625" style="131" customWidth="1" collapsed="1"/>
    <col min="10" max="10" width="14.6640625" style="131" customWidth="1"/>
    <col min="11" max="11" width="46.6640625" style="131" customWidth="1"/>
    <col min="12" max="12" width="50.6640625" style="131" customWidth="1"/>
    <col min="13" max="14" width="20.6640625" style="131" hidden="1" customWidth="1"/>
    <col min="15" max="15" width="20.6640625" style="131" customWidth="1"/>
    <col min="16" max="27" width="20.6640625" style="131"/>
    <col min="28" max="29" width="20.6640625" style="131" hidden="1" customWidth="1"/>
    <col min="30" max="30" width="20.6640625" style="131" customWidth="1"/>
    <col min="31" max="16384" width="20.6640625" style="131"/>
  </cols>
  <sheetData>
    <row r="1" spans="1:28" ht="15" hidden="1" customHeight="1" outlineLevel="1" thickBot="1" x14ac:dyDescent="0.45">
      <c r="A1" s="129" t="s">
        <v>158</v>
      </c>
      <c r="B1" s="130" t="str">
        <f>_xll.EPMReportID(B10)</f>
        <v>000</v>
      </c>
      <c r="D1" s="132" t="s">
        <v>159</v>
      </c>
      <c r="E1" s="133" t="s">
        <v>160</v>
      </c>
      <c r="G1" s="131" t="s">
        <v>182</v>
      </c>
      <c r="H1" s="131" t="s">
        <v>182</v>
      </c>
      <c r="I1" s="134" t="s">
        <v>162</v>
      </c>
      <c r="J1" s="135" t="str">
        <f>IF($G$5=FALSE,$H$4&amp;",LDEP(2,"&amp;$H$4&amp;") AND CALC=Y",$H$4&amp;",LDEP(2,"&amp;$H$4&amp;")"&amp;$H$5)</f>
        <v>BALANCE_SHEET,LDEP(2,BALANCE_SHEET) AND CALC=Y</v>
      </c>
      <c r="K1" s="135"/>
      <c r="L1" s="135"/>
      <c r="M1" s="135"/>
      <c r="N1" s="135"/>
      <c r="O1" s="135"/>
      <c r="P1" s="136" t="s">
        <v>163</v>
      </c>
      <c r="Q1" s="137" t="str">
        <f>IF(R1=1,"TRUE","FALSE")</f>
        <v>TRUE</v>
      </c>
      <c r="R1" s="137">
        <v>1</v>
      </c>
    </row>
    <row r="2" spans="1:28" ht="15" hidden="1" customHeight="1" outlineLevel="1" thickBot="1" x14ac:dyDescent="0.45">
      <c r="A2" s="129" t="s">
        <v>164</v>
      </c>
      <c r="B2" s="138" t="s">
        <v>182</v>
      </c>
      <c r="D2" s="139" t="s">
        <v>165</v>
      </c>
      <c r="E2" s="133" t="s">
        <v>160</v>
      </c>
      <c r="G2" s="131" t="s">
        <v>166</v>
      </c>
      <c r="H2" s="131" t="str">
        <f>_xll.EPMSelectMember("","[C_ACCOUNT].[PARENTH4].[E_BALSHEET_USGAAP]","","",FALSE)</f>
        <v>E_BalSheet_USGAAP</v>
      </c>
      <c r="I2" s="134" t="s">
        <v>167</v>
      </c>
      <c r="J2" s="135" t="str">
        <f>IF($G$5=FALSE,$H$4&amp;",LDEP(6,"&amp;$H$4&amp;") AND CALC=Y",$H$4&amp;",LDEP(6,"&amp;$H$4&amp;")"&amp;$H$5)</f>
        <v>BALANCE_SHEET,LDEP(6,BALANCE_SHEET) AND CALC=Y</v>
      </c>
      <c r="K2" s="135"/>
      <c r="L2" s="135"/>
      <c r="M2" s="135"/>
      <c r="N2" s="135"/>
      <c r="O2" s="135"/>
      <c r="P2" s="136" t="s">
        <v>168</v>
      </c>
      <c r="Q2" s="140" t="str">
        <f>_xll.EPMReportOptions("000",IF(R1=1,"KeepEmptyRows =RemoveEmptyandZero","KeepEmptyRows =True"))</f>
        <v>EPMReportOptions on report 000</v>
      </c>
      <c r="R2" s="140" t="b">
        <v>0</v>
      </c>
    </row>
    <row r="3" spans="1:28" ht="15" hidden="1" customHeight="1" outlineLevel="1" thickBot="1" x14ac:dyDescent="0.25">
      <c r="A3" s="129" t="s">
        <v>169</v>
      </c>
      <c r="B3" s="141" t="s">
        <v>170</v>
      </c>
      <c r="D3" s="142" t="s">
        <v>171</v>
      </c>
      <c r="G3" s="131" t="s">
        <v>172</v>
      </c>
      <c r="H3" s="131" t="str">
        <f>_xll.EPMSelectMember("","[C_ACCOUNT].[PARENTH4].[E_BALSHEET_USGAAP]","","",FALSE)</f>
        <v>E_BalSheet_USGAAP</v>
      </c>
      <c r="I3" s="134" t="s">
        <v>173</v>
      </c>
      <c r="J3" s="135" t="str">
        <f>IF($G$5=FALSE,$H$4&amp;",LDEP(99,"&amp;$H$4&amp;")",$H$4&amp;",LDEP(99,"&amp;$H$4&amp;")"&amp;$H$5)</f>
        <v>BALANCE_SHEET,LDEP(99,BALANCE_SHEET)</v>
      </c>
      <c r="K3" s="143"/>
      <c r="L3" s="144"/>
      <c r="M3" s="144"/>
      <c r="N3" s="145"/>
      <c r="O3" s="145"/>
    </row>
    <row r="4" spans="1:28" ht="15" hidden="1" customHeight="1" outlineLevel="1" thickBot="1" x14ac:dyDescent="0.3">
      <c r="D4" s="146" t="s">
        <v>174</v>
      </c>
      <c r="E4" s="147" t="s">
        <v>175</v>
      </c>
      <c r="F4" s="147"/>
      <c r="H4" s="135" t="str">
        <f>VLOOKUP(L21,$G$1:$H$3,2,FALSE)</f>
        <v>BALANCE_SHEET</v>
      </c>
      <c r="I4" s="147"/>
      <c r="J4" s="148" t="s">
        <v>176</v>
      </c>
      <c r="K4" s="149"/>
      <c r="L4" s="150" t="str">
        <f>IF(_xll.EPMMemberProperty(,$K4,"calc")="N","E",_xll.EPMMemberProperty(,$J4,"calc"))</f>
        <v>Y</v>
      </c>
      <c r="M4" s="150" t="str">
        <f>_xll.EPMMemberProperty(,$J4,"HLEVEL")</f>
        <v>7</v>
      </c>
      <c r="N4" s="150"/>
      <c r="O4" s="150"/>
      <c r="P4" s="151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</row>
    <row r="5" spans="1:28" ht="15" hidden="1" customHeight="1" outlineLevel="1" thickBot="1" x14ac:dyDescent="0.3">
      <c r="A5" s="129" t="s">
        <v>177</v>
      </c>
      <c r="B5" s="152" t="s">
        <v>178</v>
      </c>
      <c r="C5" s="153" t="s">
        <v>179</v>
      </c>
      <c r="D5" s="154"/>
      <c r="G5" s="147" t="b">
        <v>0</v>
      </c>
      <c r="H5" s="147" t="s">
        <v>180</v>
      </c>
      <c r="J5" s="155" t="s">
        <v>181</v>
      </c>
      <c r="K5" s="156" t="s">
        <v>182</v>
      </c>
    </row>
    <row r="6" spans="1:28" ht="15" hidden="1" customHeight="1" outlineLevel="1" thickBot="1" x14ac:dyDescent="0.25">
      <c r="A6" s="129" t="s">
        <v>183</v>
      </c>
      <c r="B6" s="152" t="s">
        <v>184</v>
      </c>
      <c r="C6" s="153" t="s">
        <v>185</v>
      </c>
      <c r="D6" s="131" t="str">
        <f>IFERROR(VLOOKUP(LEFT(L24,4),$E$6:$F$7,2,FALSE),"ACTUAL")</f>
        <v>WKG_BUDGET</v>
      </c>
      <c r="E6" s="157" t="str">
        <f>_xll.EPMMemberProperty(,F6,"YEAR")</f>
        <v>2021</v>
      </c>
      <c r="F6" s="158" t="str">
        <f>_xll.EPMSelectMember("","[CATEGORY].[PARENTH1].[WKG_BUDGET]","","",FALSE)</f>
        <v>WKG_BUDGET</v>
      </c>
    </row>
    <row r="7" spans="1:28" ht="15" hidden="1" customHeight="1" outlineLevel="1" thickBot="1" x14ac:dyDescent="0.35">
      <c r="A7" s="129" t="s">
        <v>186</v>
      </c>
      <c r="B7" s="159"/>
      <c r="C7" s="153" t="s">
        <v>187</v>
      </c>
      <c r="D7" s="131" t="str">
        <f>IF($L$23="E_E410","E10000","1001")</f>
        <v>1001</v>
      </c>
      <c r="E7" s="157" t="str">
        <f>_xll.EPMMemberProperty(,F7,"YEAR")</f>
        <v>2020</v>
      </c>
      <c r="F7" s="158" t="str">
        <f>_xll.EPMSelectMember("","[CATEGORY].[PARENTH1].[FORECAST]","","",FALSE)</f>
        <v>FORECAST</v>
      </c>
    </row>
    <row r="8" spans="1:28" ht="15" hidden="1" customHeight="1" outlineLevel="1" thickBot="1" x14ac:dyDescent="0.45">
      <c r="A8" s="129" t="s">
        <v>188</v>
      </c>
      <c r="B8" s="152" t="s">
        <v>184</v>
      </c>
      <c r="C8" s="153" t="s">
        <v>185</v>
      </c>
      <c r="E8" s="157" t="str">
        <f>E7&amp;".TOTAL"</f>
        <v>2020.TOTAL</v>
      </c>
      <c r="F8" s="158" t="str">
        <f>VLOOKUP("CURRENT",$E$9:$F$20,2,FALSE)</f>
        <v>FCST_9_3</v>
      </c>
      <c r="O8" s="160" t="s">
        <v>189</v>
      </c>
    </row>
    <row r="9" spans="1:28" ht="15" hidden="1" customHeight="1" outlineLevel="1" thickBot="1" x14ac:dyDescent="0.25">
      <c r="A9" s="129" t="s">
        <v>190</v>
      </c>
      <c r="B9" s="161" t="str">
        <f xml:space="preserve"> _xll.EPMOlapMemberO(B16,"[ENTITY].[PARENTH1].[E_2201]","E_2201","","000")</f>
        <v>E_2201</v>
      </c>
      <c r="C9" s="153" t="s">
        <v>191</v>
      </c>
      <c r="E9" s="157" t="str">
        <f>_xll.EPMMemberProperty(,F9,"COMPARISON")</f>
        <v/>
      </c>
      <c r="F9" s="158" t="str">
        <f>_xll.EPMSelectMember("","[CATEGORY].[PARENTH1].[FCST_0_12]","","",FALSE)</f>
        <v>FCST_0_12</v>
      </c>
      <c r="O9" s="162" t="s">
        <v>192</v>
      </c>
    </row>
    <row r="10" spans="1:28" ht="15" hidden="1" customHeight="1" outlineLevel="1" thickBot="1" x14ac:dyDescent="0.25">
      <c r="A10" s="129" t="s">
        <v>193</v>
      </c>
      <c r="B10" s="161" t="str">
        <f xml:space="preserve"> _xll.EPMOlapMemberO("[FLOW].[PARENTH1].[NO_FLOW]","","NO_FLOW","","000")</f>
        <v>NO_FLOW</v>
      </c>
      <c r="C10" s="153" t="s">
        <v>187</v>
      </c>
      <c r="E10" s="157" t="str">
        <f>_xll.EPMMemberProperty(,F10,"COMPARISON")</f>
        <v/>
      </c>
      <c r="F10" s="158" t="str">
        <f>_xll.EPMSelectMember("","[CATEGORY].[PARENTH1].[FCST_1_11]","","",FALSE)</f>
        <v>FCST_1_11</v>
      </c>
      <c r="O10" s="162" t="s">
        <v>183</v>
      </c>
    </row>
    <row r="11" spans="1:28" ht="15" hidden="1" customHeight="1" outlineLevel="1" thickBot="1" x14ac:dyDescent="0.25">
      <c r="A11" s="129" t="s">
        <v>194</v>
      </c>
      <c r="B11" s="161" t="str">
        <f xml:space="preserve"> _xll.EPMOlapMemberO("[I_ENTITY].[PARENTH1].[ALL_IE_ENTITIES]","","ALL_IE_ENTITIES","","000")</f>
        <v>ALL_IE_ENTITIES</v>
      </c>
      <c r="C11" s="153" t="s">
        <v>187</v>
      </c>
      <c r="E11" s="157" t="str">
        <f>_xll.EPMMemberProperty(,F11,"COMPARISON")</f>
        <v/>
      </c>
      <c r="F11" s="158" t="str">
        <f>_xll.EPMSelectMember("","[CATEGORY].[PARENTH1].[FCST_2_10]","","",FALSE)</f>
        <v>FCST_2_10</v>
      </c>
      <c r="O11" s="162" t="s">
        <v>188</v>
      </c>
      <c r="P11" s="131" t="str">
        <f>_xll.EPMMemberProperty(,P13,"Currentmonth")</f>
        <v>WB</v>
      </c>
      <c r="Q11" s="131" t="str">
        <f>_xll.EPMMemberProperty(,Q13,"Currentmonth")</f>
        <v>WB</v>
      </c>
      <c r="R11" s="131" t="str">
        <f>_xll.EPMMemberProperty(,R13,"Currentmonth")</f>
        <v>WB</v>
      </c>
      <c r="S11" s="131" t="str">
        <f>_xll.EPMMemberProperty(,S13,"Currentmonth")</f>
        <v>WB</v>
      </c>
      <c r="T11" s="131" t="str">
        <f>_xll.EPMMemberProperty(,T13,"Currentmonth")</f>
        <v>WB</v>
      </c>
      <c r="U11" s="131" t="str">
        <f>_xll.EPMMemberProperty(,U13,"Currentmonth")</f>
        <v>WB</v>
      </c>
      <c r="V11" s="131" t="str">
        <f>_xll.EPMMemberProperty(,V13,"Currentmonth")</f>
        <v>WB</v>
      </c>
      <c r="W11" s="131" t="str">
        <f>_xll.EPMMemberProperty(,W13,"Currentmonth")</f>
        <v>WB</v>
      </c>
      <c r="X11" s="131" t="str">
        <f>_xll.EPMMemberProperty(,X13,"Currentmonth")</f>
        <v>WB</v>
      </c>
      <c r="Y11" s="131" t="str">
        <f>_xll.EPMMemberProperty(,Y13,"Currentmonth")</f>
        <v>WB</v>
      </c>
      <c r="Z11" s="131" t="str">
        <f>_xll.EPMMemberProperty(,Z13,"Currentmonth")</f>
        <v>WB</v>
      </c>
      <c r="AA11" s="131" t="str">
        <f>_xll.EPMMemberProperty(,AA13,"Currentmonth")</f>
        <v>WB</v>
      </c>
    </row>
    <row r="12" spans="1:28" ht="15" hidden="1" customHeight="1" outlineLevel="1" thickBot="1" x14ac:dyDescent="0.25">
      <c r="A12" s="129" t="s">
        <v>195</v>
      </c>
      <c r="B12" s="161" t="str">
        <f xml:space="preserve"> _xll.EPMOlapMemberO("[RPTCURRENCY].[].[LC]","","LC","","000")</f>
        <v>LC</v>
      </c>
      <c r="C12" s="153" t="s">
        <v>187</v>
      </c>
      <c r="E12" s="157" t="str">
        <f>_xll.EPMMemberProperty(,F12,"COMPARISON")</f>
        <v/>
      </c>
      <c r="F12" s="158" t="str">
        <f>_xll.EPMSelectMember("","[CATEGORY].[PARENTH1].[FCST_3_9]","","",FALSE)</f>
        <v>FCST_3_9</v>
      </c>
      <c r="H12" s="131" t="s">
        <v>196</v>
      </c>
      <c r="O12" s="163" t="s">
        <v>197</v>
      </c>
      <c r="P12" s="163" t="s">
        <v>197</v>
      </c>
      <c r="Q12" s="163" t="s">
        <v>198</v>
      </c>
      <c r="R12" s="163" t="s">
        <v>199</v>
      </c>
      <c r="S12" s="163" t="s">
        <v>200</v>
      </c>
      <c r="T12" s="163" t="s">
        <v>201</v>
      </c>
      <c r="U12" s="163" t="s">
        <v>202</v>
      </c>
      <c r="V12" s="163" t="s">
        <v>203</v>
      </c>
      <c r="W12" s="163" t="s">
        <v>204</v>
      </c>
      <c r="X12" s="163" t="s">
        <v>205</v>
      </c>
      <c r="Y12" s="163" t="s">
        <v>206</v>
      </c>
      <c r="Z12" s="163" t="s">
        <v>207</v>
      </c>
      <c r="AA12" s="163" t="s">
        <v>208</v>
      </c>
    </row>
    <row r="13" spans="1:28" ht="15" hidden="1" customHeight="1" outlineLevel="1" thickBot="1" x14ac:dyDescent="0.25">
      <c r="A13" s="129" t="s">
        <v>192</v>
      </c>
      <c r="B13" s="152" t="s">
        <v>184</v>
      </c>
      <c r="C13" s="153" t="s">
        <v>185</v>
      </c>
      <c r="E13" s="157" t="str">
        <f>_xll.EPMMemberProperty(,F13,"COMPARISON")</f>
        <v/>
      </c>
      <c r="F13" s="158" t="str">
        <f>_xll.EPMSelectMember("","[CATEGORY].[PARENTH1].[FCST_4_8]","","",FALSE)</f>
        <v>FCST_4_8</v>
      </c>
      <c r="M13" s="164" t="str">
        <f>M32</f>
        <v>2021.DEC</v>
      </c>
      <c r="N13" s="164" t="str">
        <f>N32</f>
        <v>2021.DEC</v>
      </c>
      <c r="O13" s="165" t="str">
        <f>LEFT($L$24,5)-1&amp;".DEC"</f>
        <v>2020.DEC</v>
      </c>
      <c r="P13" s="165" t="str">
        <f t="shared" ref="P13:AA13" si="0">LEFT($L$24,5)&amp;P12</f>
        <v>2021.JAN</v>
      </c>
      <c r="Q13" s="165" t="str">
        <f t="shared" si="0"/>
        <v>2021.FEB</v>
      </c>
      <c r="R13" s="165" t="str">
        <f t="shared" si="0"/>
        <v>2021.MAR</v>
      </c>
      <c r="S13" s="165" t="str">
        <f t="shared" si="0"/>
        <v>2021.APR</v>
      </c>
      <c r="T13" s="165" t="str">
        <f t="shared" si="0"/>
        <v>2021.MAY</v>
      </c>
      <c r="U13" s="165" t="str">
        <f t="shared" si="0"/>
        <v>2021.JUN</v>
      </c>
      <c r="V13" s="165" t="str">
        <f t="shared" si="0"/>
        <v>2021.JUL</v>
      </c>
      <c r="W13" s="165" t="str">
        <f t="shared" si="0"/>
        <v>2021.AUG</v>
      </c>
      <c r="X13" s="165" t="str">
        <f t="shared" si="0"/>
        <v>2021.SEP</v>
      </c>
      <c r="Y13" s="165" t="str">
        <f t="shared" si="0"/>
        <v>2021.OCT</v>
      </c>
      <c r="Z13" s="165" t="str">
        <f t="shared" si="0"/>
        <v>2021.NOV</v>
      </c>
      <c r="AA13" s="165" t="str">
        <f t="shared" si="0"/>
        <v>2021.DEC</v>
      </c>
    </row>
    <row r="14" spans="1:28" ht="15" hidden="1" customHeight="1" outlineLevel="1" thickBot="1" x14ac:dyDescent="0.25">
      <c r="A14" s="166" t="s">
        <v>209</v>
      </c>
      <c r="B14" s="161" t="str">
        <f xml:space="preserve"> _xll.EPMOlapMemberO(D15,"[MEASURES].[].[PERIODIC]","PERIODIC","","000")</f>
        <v>PERIODIC</v>
      </c>
      <c r="C14" s="153" t="s">
        <v>187</v>
      </c>
      <c r="D14" s="131" t="b">
        <v>0</v>
      </c>
      <c r="E14" s="157" t="str">
        <f>_xll.EPMMemberProperty(,F14,"COMPARISON")</f>
        <v/>
      </c>
      <c r="F14" s="158" t="str">
        <f>_xll.EPMSelectMember("","[CATEGORY].[PARENTH1].[FCST_5_7]","","",FALSE)</f>
        <v>FCST_5_7</v>
      </c>
      <c r="M14" s="164" t="str">
        <f>M31</f>
        <v>FCST_9_3</v>
      </c>
      <c r="N14" s="164" t="str">
        <f>N31</f>
        <v>FNL_BUDGET</v>
      </c>
      <c r="O14" s="167" t="s">
        <v>210</v>
      </c>
      <c r="P14" s="167" t="str">
        <f t="shared" ref="P14:AA14" si="1">$L$22</f>
        <v>WKG_BUDGET</v>
      </c>
      <c r="Q14" s="167" t="str">
        <f t="shared" si="1"/>
        <v>WKG_BUDGET</v>
      </c>
      <c r="R14" s="167" t="str">
        <f t="shared" si="1"/>
        <v>WKG_BUDGET</v>
      </c>
      <c r="S14" s="167" t="str">
        <f t="shared" si="1"/>
        <v>WKG_BUDGET</v>
      </c>
      <c r="T14" s="167" t="str">
        <f t="shared" si="1"/>
        <v>WKG_BUDGET</v>
      </c>
      <c r="U14" s="167" t="str">
        <f t="shared" si="1"/>
        <v>WKG_BUDGET</v>
      </c>
      <c r="V14" s="167" t="str">
        <f t="shared" si="1"/>
        <v>WKG_BUDGET</v>
      </c>
      <c r="W14" s="167" t="str">
        <f t="shared" si="1"/>
        <v>WKG_BUDGET</v>
      </c>
      <c r="X14" s="167" t="str">
        <f t="shared" si="1"/>
        <v>WKG_BUDGET</v>
      </c>
      <c r="Y14" s="167" t="str">
        <f t="shared" si="1"/>
        <v>WKG_BUDGET</v>
      </c>
      <c r="Z14" s="167" t="str">
        <f t="shared" si="1"/>
        <v>WKG_BUDGET</v>
      </c>
      <c r="AA14" s="167" t="str">
        <f t="shared" si="1"/>
        <v>WKG_BUDGET</v>
      </c>
    </row>
    <row r="15" spans="1:28" ht="15" hidden="1" customHeight="1" outlineLevel="1" thickBot="1" x14ac:dyDescent="0.25">
      <c r="A15" s="168" t="s">
        <v>211</v>
      </c>
      <c r="B15" s="169"/>
      <c r="D15" s="131" t="str">
        <f>IF(D14=FALSE,"PERIODIC","YTD")</f>
        <v>PERIODIC</v>
      </c>
      <c r="E15" s="157" t="str">
        <f>_xll.EPMMemberProperty(,F15,"COMPARISON")</f>
        <v/>
      </c>
      <c r="F15" s="158" t="str">
        <f>_xll.EPMSelectMember("","[CATEGORY].[PARENTH1].[FCST_6_6]","","",FALSE)</f>
        <v>FCST_6_6</v>
      </c>
      <c r="M15" s="170" t="str">
        <f t="shared" ref="M15:AA15" si="2">IF($L$21=$G$3,"TOTAL_EMERA","TOTAL_REST_FI")</f>
        <v>TOTAL_REST_FI</v>
      </c>
      <c r="N15" s="170" t="str">
        <f t="shared" si="2"/>
        <v>TOTAL_REST_FI</v>
      </c>
      <c r="O15" s="170" t="str">
        <f t="shared" si="2"/>
        <v>TOTAL_REST_FI</v>
      </c>
      <c r="P15" s="170" t="str">
        <f t="shared" si="2"/>
        <v>TOTAL_REST_FI</v>
      </c>
      <c r="Q15" s="170" t="str">
        <f t="shared" si="2"/>
        <v>TOTAL_REST_FI</v>
      </c>
      <c r="R15" s="170" t="str">
        <f t="shared" si="2"/>
        <v>TOTAL_REST_FI</v>
      </c>
      <c r="S15" s="170" t="str">
        <f t="shared" si="2"/>
        <v>TOTAL_REST_FI</v>
      </c>
      <c r="T15" s="170" t="str">
        <f t="shared" si="2"/>
        <v>TOTAL_REST_FI</v>
      </c>
      <c r="U15" s="170" t="str">
        <f t="shared" si="2"/>
        <v>TOTAL_REST_FI</v>
      </c>
      <c r="V15" s="170" t="str">
        <f t="shared" si="2"/>
        <v>TOTAL_REST_FI</v>
      </c>
      <c r="W15" s="170" t="str">
        <f t="shared" si="2"/>
        <v>TOTAL_REST_FI</v>
      </c>
      <c r="X15" s="170" t="str">
        <f t="shared" si="2"/>
        <v>TOTAL_REST_FI</v>
      </c>
      <c r="Y15" s="170" t="str">
        <f t="shared" si="2"/>
        <v>TOTAL_REST_FI</v>
      </c>
      <c r="Z15" s="170" t="str">
        <f t="shared" si="2"/>
        <v>TOTAL_REST_FI</v>
      </c>
      <c r="AA15" s="170" t="str">
        <f t="shared" si="2"/>
        <v>TOTAL_REST_FI</v>
      </c>
    </row>
    <row r="16" spans="1:28" ht="15" hidden="1" customHeight="1" outlineLevel="1" thickBot="1" x14ac:dyDescent="0.35">
      <c r="A16" s="171" t="s">
        <v>190</v>
      </c>
      <c r="B16" s="172" t="str">
        <f>L23</f>
        <v>E_2201</v>
      </c>
      <c r="C16" s="173" t="s">
        <v>212</v>
      </c>
      <c r="E16" s="157" t="str">
        <f>_xll.EPMMemberProperty(,F16,"COMPARISON")</f>
        <v/>
      </c>
      <c r="F16" s="158" t="str">
        <f>_xll.EPMSelectMember("","[CATEGORY].[PARENTH1].[FCST_7_5]","","",FALSE)</f>
        <v>FCST_7_5</v>
      </c>
      <c r="L16" s="159" t="str">
        <f xml:space="preserve"> _xll.EPMOlapMemberO("[Blank Member]","","","","000")</f>
        <v/>
      </c>
      <c r="M16" s="159" t="str">
        <f xml:space="preserve"> _xll.EPMOlapMemberO(M13,"[TIME].[PARENTH1].[2021.DEC]","2021 DEC","","000")</f>
        <v>2021.DEC</v>
      </c>
      <c r="N16" s="159" t="str">
        <f xml:space="preserve"> _xll.EPMOlapMemberO(N13,"[TIME].[PARENTH1].[2021.DEC]","2021 DEC","","000")</f>
        <v>2021.DEC</v>
      </c>
      <c r="O16" s="159" t="str">
        <f xml:space="preserve"> _xll.EPMOlapMemberO(O13,"[TIME].[PARENTH1].[2020.DEC]","2020 DEC","","000")</f>
        <v>2020.DEC</v>
      </c>
      <c r="P16" s="159" t="str">
        <f xml:space="preserve"> _xll.EPMOlapMemberO(P13,"[TIME].[PARENTH1].[2021.JAN]","2021 JAN","","000")</f>
        <v>2021.JAN</v>
      </c>
      <c r="Q16" s="159" t="str">
        <f xml:space="preserve"> _xll.EPMOlapMemberO(Q13,"[TIME].[PARENTH1].[2021.FEB]","2021 FEB","","000")</f>
        <v>2021.FEB</v>
      </c>
      <c r="R16" s="159" t="str">
        <f xml:space="preserve"> _xll.EPMOlapMemberO(R13,"[TIME].[PARENTH1].[2021.MAR]","2021 MAR","","000")</f>
        <v>2021.MAR</v>
      </c>
      <c r="S16" s="159" t="str">
        <f xml:space="preserve"> _xll.EPMOlapMemberO(S13,"[TIME].[PARENTH1].[2021.APR]","2021 APR","","000")</f>
        <v>2021.APR</v>
      </c>
      <c r="T16" s="159" t="str">
        <f xml:space="preserve"> _xll.EPMOlapMemberO(T13,"[TIME].[PARENTH1].[2021.MAY]","2021 MAY","","000")</f>
        <v>2021.MAY</v>
      </c>
      <c r="U16" s="159" t="str">
        <f xml:space="preserve"> _xll.EPMOlapMemberO(U13,"[TIME].[PARENTH1].[2021.JUN]","2021 JUN","","000")</f>
        <v>2021.JUN</v>
      </c>
      <c r="V16" s="159" t="str">
        <f xml:space="preserve"> _xll.EPMOlapMemberO(V13,"[TIME].[PARENTH1].[2021.JUL]","2021 JUL","","000")</f>
        <v>2021.JUL</v>
      </c>
      <c r="W16" s="159" t="str">
        <f xml:space="preserve"> _xll.EPMOlapMemberO(W13,"[TIME].[PARENTH1].[2021.AUG]","2021 AUG","","000")</f>
        <v>2021.AUG</v>
      </c>
      <c r="X16" s="159" t="str">
        <f xml:space="preserve"> _xll.EPMOlapMemberO(X13,"[TIME].[PARENTH1].[2021.SEP]","2021 SEP","","000")</f>
        <v>2021.SEP</v>
      </c>
      <c r="Y16" s="159" t="str">
        <f xml:space="preserve"> _xll.EPMOlapMemberO(Y13,"[TIME].[PARENTH1].[2021.OCT]","2021 OCT","","000")</f>
        <v>2021.OCT</v>
      </c>
      <c r="Z16" s="159" t="str">
        <f xml:space="preserve"> _xll.EPMOlapMemberO(Z13,"[TIME].[PARENTH1].[2021.NOV]","2021 NOV","","000")</f>
        <v>2021.NOV</v>
      </c>
      <c r="AA16" s="159" t="str">
        <f xml:space="preserve"> _xll.EPMOlapMemberO(AA13,"[TIME].[PARENTH1].[2021.DEC]","2021 DEC","","000")</f>
        <v>2021.DEC</v>
      </c>
    </row>
    <row r="17" spans="1:27" ht="15" hidden="1" customHeight="1" outlineLevel="1" thickBot="1" x14ac:dyDescent="0.35">
      <c r="A17" s="146" t="s">
        <v>213</v>
      </c>
      <c r="B17" s="147" t="str">
        <f>IF(C17=1,"",_xll.EPMDimensionOverride($B$1,$A$5,VLOOKUP(L25,$I$1:$J$3,2,"FALSE")))</f>
        <v>Expansion of C_ACCOUNT Overriden</v>
      </c>
      <c r="C17" s="131">
        <v>2</v>
      </c>
      <c r="D17" s="131" t="s">
        <v>214</v>
      </c>
      <c r="E17" s="157" t="str">
        <f>_xll.EPMMemberProperty(,F17,"COMPARISON")</f>
        <v/>
      </c>
      <c r="F17" s="158" t="str">
        <f>_xll.EPMSelectMember("","[CATEGORY].[PARENTH1].[FCST_8_4]","","",FALSE)</f>
        <v>FCST_8_4</v>
      </c>
      <c r="L17" s="159" t="str">
        <f xml:space="preserve"> _xll.EPMOlapMemberO("[Blank Member]","","","","000")</f>
        <v/>
      </c>
      <c r="M17" s="159" t="str">
        <f xml:space="preserve"> _xll.EPMOlapMemberO(M14,"[CATEGORY].[PARENTH1].[FCST_9_3]","FCST_9_3","","000")</f>
        <v>FCST_9_3</v>
      </c>
      <c r="N17" s="159" t="str">
        <f xml:space="preserve"> _xll.EPMOlapMemberO(N14,"[CATEGORY].[PARENTH1].[FNL_BUDGET]","FNL_BUDGET","","000")</f>
        <v>FNL_BUDGET</v>
      </c>
      <c r="O17" s="159" t="str">
        <f xml:space="preserve"> _xll.EPMOlapMemberO(O14,"[CATEGORY].[PARENTH1].[ACTUAL]","ACTUAL","","000")</f>
        <v>ACTUAL</v>
      </c>
      <c r="P17" s="159" t="str">
        <f xml:space="preserve"> _xll.EPMOlapMemberO(P14,"[CATEGORY].[PARENTH1].[WKG_BUDGET]","WKG_BUDGET","","000")</f>
        <v>WKG_BUDGET</v>
      </c>
      <c r="Q17" s="159" t="str">
        <f xml:space="preserve"> _xll.EPMOlapMemberO(Q14,"[CATEGORY].[PARENTH1].[WKG_BUDGET]","WKG_BUDGET","","000")</f>
        <v>WKG_BUDGET</v>
      </c>
      <c r="R17" s="159" t="str">
        <f xml:space="preserve"> _xll.EPMOlapMemberO(R14,"[CATEGORY].[PARENTH1].[WKG_BUDGET]","WKG_BUDGET","","000")</f>
        <v>WKG_BUDGET</v>
      </c>
      <c r="S17" s="159" t="str">
        <f xml:space="preserve"> _xll.EPMOlapMemberO(S14,"[CATEGORY].[PARENTH1].[WKG_BUDGET]","WKG_BUDGET","","000")</f>
        <v>WKG_BUDGET</v>
      </c>
      <c r="T17" s="159" t="str">
        <f xml:space="preserve"> _xll.EPMOlapMemberO(T14,"[CATEGORY].[PARENTH1].[WKG_BUDGET]","WKG_BUDGET","","000")</f>
        <v>WKG_BUDGET</v>
      </c>
      <c r="U17" s="159" t="str">
        <f xml:space="preserve"> _xll.EPMOlapMemberO(U14,"[CATEGORY].[PARENTH1].[WKG_BUDGET]","WKG_BUDGET","","000")</f>
        <v>WKG_BUDGET</v>
      </c>
      <c r="V17" s="159" t="str">
        <f xml:space="preserve"> _xll.EPMOlapMemberO(V14,"[CATEGORY].[PARENTH1].[WKG_BUDGET]","WKG_BUDGET","","000")</f>
        <v>WKG_BUDGET</v>
      </c>
      <c r="W17" s="159" t="str">
        <f xml:space="preserve"> _xll.EPMOlapMemberO(W14,"[CATEGORY].[PARENTH1].[WKG_BUDGET]","WKG_BUDGET","","000")</f>
        <v>WKG_BUDGET</v>
      </c>
      <c r="X17" s="159" t="str">
        <f xml:space="preserve"> _xll.EPMOlapMemberO(X14,"[CATEGORY].[PARENTH1].[WKG_BUDGET]","WKG_BUDGET","","000")</f>
        <v>WKG_BUDGET</v>
      </c>
      <c r="Y17" s="159" t="str">
        <f xml:space="preserve"> _xll.EPMOlapMemberO(Y14,"[CATEGORY].[PARENTH1].[WKG_BUDGET]","WKG_BUDGET","","000")</f>
        <v>WKG_BUDGET</v>
      </c>
      <c r="Z17" s="159" t="str">
        <f xml:space="preserve"> _xll.EPMOlapMemberO(Z14,"[CATEGORY].[PARENTH1].[WKG_BUDGET]","WKG_BUDGET","","000")</f>
        <v>WKG_BUDGET</v>
      </c>
      <c r="AA17" s="159" t="str">
        <f xml:space="preserve"> _xll.EPMOlapMemberO(AA14,"[CATEGORY].[PARENTH1].[WKG_BUDGET]","WKG_BUDGET","","000")</f>
        <v>WKG_BUDGET</v>
      </c>
    </row>
    <row r="18" spans="1:27" ht="15" hidden="1" customHeight="1" outlineLevel="1" x14ac:dyDescent="0.3">
      <c r="B18" s="147" t="str">
        <f>_xll.EPMDimensionOverride($B$1,$A$7,$D$7)</f>
        <v>Expansion of COSTCENTER Overriden</v>
      </c>
      <c r="D18" s="131" t="s">
        <v>215</v>
      </c>
      <c r="E18" s="157" t="str">
        <f>_xll.EPMMemberProperty(,F18,"COMPARISON")</f>
        <v>CURRENT</v>
      </c>
      <c r="F18" s="158" t="str">
        <f>_xll.EPMSelectMember("","[CATEGORY].[PARENTH1].[FCST_9_3]","","",FALSE)</f>
        <v>FCST_9_3</v>
      </c>
      <c r="L18" s="159" t="str">
        <f xml:space="preserve"> _xll.FPMXLClient.TechnicalCategory.EPMLocalMember("","000","000")</f>
        <v/>
      </c>
      <c r="M18" s="159" t="str">
        <f xml:space="preserve"> _xll.EPMOlapMemberO(M15,"[DATASOURCE].[PARENTH1].[TOTAL_REST_FI]","TOTAL_REST_FI","","000")</f>
        <v>TOTAL_REST_FI</v>
      </c>
      <c r="N18" s="159" t="str">
        <f xml:space="preserve"> _xll.EPMOlapMemberO(N15,"[DATASOURCE].[PARENTH1].[TOTAL_REST_FI]","TOTAL_REST_FI","","000")</f>
        <v>TOTAL_REST_FI</v>
      </c>
      <c r="O18" s="159" t="str">
        <f xml:space="preserve"> _xll.EPMOlapMemberO(O15,"[DATASOURCE].[PARENTH1].[TOTAL_REST_FI]","TOTAL_REST_FI","","000")</f>
        <v>TOTAL_REST_FI</v>
      </c>
      <c r="P18" s="159" t="str">
        <f xml:space="preserve"> _xll.EPMOlapMemberO(P15,"[DATASOURCE].[PARENTH1].[TOTAL_REST_FI]","TOTAL_REST_FI","","000")</f>
        <v>TOTAL_REST_FI</v>
      </c>
      <c r="Q18" s="159" t="str">
        <f xml:space="preserve"> _xll.EPMOlapMemberO(Q15,"[DATASOURCE].[PARENTH1].[TOTAL_REST_FI]","TOTAL_REST_FI","","000")</f>
        <v>TOTAL_REST_FI</v>
      </c>
      <c r="R18" s="159" t="str">
        <f xml:space="preserve"> _xll.EPMOlapMemberO(R15,"[DATASOURCE].[PARENTH1].[TOTAL_REST_FI]","TOTAL_REST_FI","","000")</f>
        <v>TOTAL_REST_FI</v>
      </c>
      <c r="S18" s="159" t="str">
        <f xml:space="preserve"> _xll.EPMOlapMemberO(S15,"[DATASOURCE].[PARENTH1].[TOTAL_REST_FI]","TOTAL_REST_FI","","000")</f>
        <v>TOTAL_REST_FI</v>
      </c>
      <c r="T18" s="159" t="str">
        <f xml:space="preserve"> _xll.EPMOlapMemberO(T15,"[DATASOURCE].[PARENTH1].[TOTAL_REST_FI]","TOTAL_REST_FI","","000")</f>
        <v>TOTAL_REST_FI</v>
      </c>
      <c r="U18" s="159" t="str">
        <f xml:space="preserve"> _xll.EPMOlapMemberO(U15,"[DATASOURCE].[PARENTH1].[TOTAL_REST_FI]","TOTAL_REST_FI","","000")</f>
        <v>TOTAL_REST_FI</v>
      </c>
      <c r="V18" s="159" t="str">
        <f xml:space="preserve"> _xll.EPMOlapMemberO(V15,"[DATASOURCE].[PARENTH1].[TOTAL_REST_FI]","TOTAL_REST_FI","","000")</f>
        <v>TOTAL_REST_FI</v>
      </c>
      <c r="W18" s="159" t="str">
        <f xml:space="preserve"> _xll.EPMOlapMemberO(W15,"[DATASOURCE].[PARENTH1].[TOTAL_REST_FI]","TOTAL_REST_FI","","000")</f>
        <v>TOTAL_REST_FI</v>
      </c>
      <c r="X18" s="159" t="str">
        <f xml:space="preserve"> _xll.EPMOlapMemberO(X15,"[DATASOURCE].[PARENTH1].[TOTAL_REST_FI]","TOTAL_REST_FI","","000")</f>
        <v>TOTAL_REST_FI</v>
      </c>
      <c r="Y18" s="159" t="str">
        <f xml:space="preserve"> _xll.EPMOlapMemberO(Y15,"[DATASOURCE].[PARENTH1].[TOTAL_REST_FI]","TOTAL_REST_FI","","000")</f>
        <v>TOTAL_REST_FI</v>
      </c>
      <c r="Z18" s="159" t="str">
        <f xml:space="preserve"> _xll.EPMOlapMemberO(Z15,"[DATASOURCE].[PARENTH1].[TOTAL_REST_FI]","TOTAL_REST_FI","","000")</f>
        <v>TOTAL_REST_FI</v>
      </c>
      <c r="AA18" s="159" t="str">
        <f xml:space="preserve"> _xll.EPMOlapMemberO(AA15,"[DATASOURCE].[PARENTH1].[TOTAL_REST_FI]","TOTAL_REST_FI","","000")</f>
        <v>TOTAL_REST_FI</v>
      </c>
    </row>
    <row r="19" spans="1:27" ht="15" hidden="1" customHeight="1" outlineLevel="1" x14ac:dyDescent="0.2">
      <c r="E19" s="157" t="str">
        <f>_xll.EPMMemberProperty(,F19,"COMPARISON")</f>
        <v/>
      </c>
      <c r="F19" s="158" t="str">
        <f>_xll.EPMSelectMember("","[CATEGORY].[PARENTH1].[FCST_10_2]","","",FALSE)</f>
        <v>FCST_10_2</v>
      </c>
    </row>
    <row r="20" spans="1:27" ht="31.5" customHeight="1" collapsed="1" thickBot="1" x14ac:dyDescent="0.25">
      <c r="E20" s="157" t="str">
        <f>_xll.EPMMemberProperty(,F20,"COMPARISON")</f>
        <v/>
      </c>
      <c r="F20" s="158" t="str">
        <f>_xll.EPMSelectMember("","[CATEGORY].[PARENTH1].[FCST_11_1]","","",FALSE)</f>
        <v>FCST_11_1</v>
      </c>
    </row>
    <row r="21" spans="1:27" ht="15" customHeight="1" thickBot="1" x14ac:dyDescent="0.25">
      <c r="K21" s="155" t="s">
        <v>181</v>
      </c>
      <c r="L21" s="156" t="s">
        <v>182</v>
      </c>
    </row>
    <row r="22" spans="1:27" ht="15" customHeight="1" thickBot="1" x14ac:dyDescent="0.45">
      <c r="K22" s="174" t="s">
        <v>216</v>
      </c>
      <c r="L22" s="156" t="str">
        <f>_xll.EPMSelectMember("","[CATEGORY].[PARENTH1].[WKG_BUDGET]","","",FALSE)</f>
        <v>WKG_BUDGET</v>
      </c>
      <c r="M22" s="175"/>
      <c r="N22" s="175"/>
      <c r="O22" s="176" t="str">
        <f>_xll.EPMMemberDesc(L22)</f>
        <v>WORKING BUDGET</v>
      </c>
    </row>
    <row r="23" spans="1:27" ht="15" customHeight="1" thickBot="1" x14ac:dyDescent="0.45">
      <c r="K23" s="174" t="s">
        <v>217</v>
      </c>
      <c r="L23" s="156" t="str">
        <f>_xll.EPMContextMember(,"ENTITY")</f>
        <v>E_2201</v>
      </c>
      <c r="M23" s="175"/>
      <c r="N23" s="175"/>
      <c r="O23" s="176" t="str">
        <f>_xll.EPMMemberDesc(L23)</f>
        <v>Tampa Electric</v>
      </c>
    </row>
    <row r="24" spans="1:27" ht="15" customHeight="1" thickBot="1" x14ac:dyDescent="0.45">
      <c r="G24" s="133"/>
      <c r="K24" s="174" t="s">
        <v>218</v>
      </c>
      <c r="L24" s="156" t="str">
        <f>_xll.EPMContextMember(,"TIME")</f>
        <v>2021.TOTAL</v>
      </c>
      <c r="M24" s="175"/>
      <c r="N24" s="175"/>
      <c r="O24" s="176" t="str">
        <f>_xll.EPMMemberDesc(L24)</f>
        <v>2021 TOTAL</v>
      </c>
    </row>
    <row r="25" spans="1:27" ht="15" customHeight="1" thickBot="1" x14ac:dyDescent="0.25">
      <c r="K25" s="177" t="s">
        <v>219</v>
      </c>
      <c r="L25" s="178" t="s">
        <v>173</v>
      </c>
      <c r="Q25" s="179"/>
    </row>
    <row r="26" spans="1:27" ht="24.9" customHeight="1" thickBot="1" x14ac:dyDescent="0.25">
      <c r="K26" s="177"/>
      <c r="L26" s="180" t="str">
        <f>_xll.EPMMemberDesc(L23)</f>
        <v>Tampa Electric</v>
      </c>
      <c r="Q26" s="179"/>
    </row>
    <row r="27" spans="1:27" ht="17.100000000000001" customHeight="1" x14ac:dyDescent="0.2">
      <c r="J27" s="181"/>
      <c r="K27" s="182"/>
      <c r="L27" s="183"/>
      <c r="M27" s="184"/>
      <c r="N27" s="184"/>
      <c r="P27" s="185" t="s">
        <v>220</v>
      </c>
    </row>
    <row r="28" spans="1:27" ht="17.100000000000001" customHeight="1" x14ac:dyDescent="0.4">
      <c r="J28" s="186" t="s">
        <v>228</v>
      </c>
      <c r="K28" s="187"/>
      <c r="L28" s="188"/>
      <c r="M28" s="189"/>
      <c r="N28" s="189"/>
    </row>
    <row r="29" spans="1:27" ht="17.100000000000001" customHeight="1" thickBot="1" x14ac:dyDescent="0.25">
      <c r="G29" s="190" t="s">
        <v>222</v>
      </c>
      <c r="H29" s="190" t="s">
        <v>222</v>
      </c>
      <c r="J29" s="191"/>
      <c r="K29" s="192"/>
      <c r="L29" s="193"/>
      <c r="M29" s="184"/>
      <c r="N29" s="184"/>
      <c r="P29" s="194" t="s">
        <v>223</v>
      </c>
    </row>
    <row r="30" spans="1:27" ht="15" customHeight="1" x14ac:dyDescent="0.2">
      <c r="G30" s="190" t="s">
        <v>222</v>
      </c>
      <c r="H30" s="190" t="s">
        <v>222</v>
      </c>
    </row>
    <row r="31" spans="1:27" ht="15" customHeight="1" x14ac:dyDescent="0.2">
      <c r="G31" s="195"/>
      <c r="H31" s="195"/>
      <c r="I31" s="195"/>
      <c r="J31" s="196" t="s">
        <v>224</v>
      </c>
      <c r="K31" s="196"/>
      <c r="L31" s="196"/>
      <c r="M31" s="197" t="str">
        <f>_xll.EPMSelectMember(,$F$8)</f>
        <v>FCST_9_3</v>
      </c>
      <c r="N31" s="197" t="str">
        <f>_xll.EPMSelectMember(,"FNL_BUDGET")</f>
        <v>FNL_BUDGET</v>
      </c>
      <c r="O31" s="198" t="str">
        <f>_xll.EPMMemberDesc(O14)</f>
        <v>ACTUAL</v>
      </c>
      <c r="P31" s="198" t="str">
        <f>IF($L$22="FORECAST",IF(OR(P11="A",P11="PA")=TRUE,"ACTUAL",_xll.EPMMemberDesc(P14)),_xll.EPMMemberDesc(P14))</f>
        <v>WORKING BUDGET</v>
      </c>
      <c r="Q31" s="198" t="str">
        <f>IF($L$22="FORECAST",IF(OR(Q11="A",Q11="PA")=TRUE,"ACTUAL",_xll.EPMMemberDesc(Q14)),_xll.EPMMemberDesc(Q14))</f>
        <v>WORKING BUDGET</v>
      </c>
      <c r="R31" s="198" t="str">
        <f>IF($L$22="FORECAST",IF(OR(R11="A",R11="PA")=TRUE,"ACTUAL",_xll.EPMMemberDesc(R14)),_xll.EPMMemberDesc(R14))</f>
        <v>WORKING BUDGET</v>
      </c>
      <c r="S31" s="198" t="str">
        <f>IF($L$22="FORECAST",IF(OR(S11="A",S11="PA")=TRUE,"ACTUAL",_xll.EPMMemberDesc(S14)),_xll.EPMMemberDesc(S14))</f>
        <v>WORKING BUDGET</v>
      </c>
      <c r="T31" s="198" t="str">
        <f>IF($L$22="FORECAST",IF(OR(T11="A",T11="PA")=TRUE,"ACTUAL",_xll.EPMMemberDesc(T14)),_xll.EPMMemberDesc(T14))</f>
        <v>WORKING BUDGET</v>
      </c>
      <c r="U31" s="198" t="str">
        <f>IF($L$22="FORECAST",IF(OR(U11="A",U11="PA")=TRUE,"ACTUAL",_xll.EPMMemberDesc(U14)),_xll.EPMMemberDesc(U14))</f>
        <v>WORKING BUDGET</v>
      </c>
      <c r="V31" s="198" t="str">
        <f>IF($L$22="FORECAST",IF(OR(V11="A",V11="PA")=TRUE,"ACTUAL",_xll.EPMMemberDesc(V14)),_xll.EPMMemberDesc(V14))</f>
        <v>WORKING BUDGET</v>
      </c>
      <c r="W31" s="198" t="str">
        <f>IF($L$22="FORECAST",IF(OR(W11="A",W11="PA")=TRUE,"ACTUAL",_xll.EPMMemberDesc(W14)),_xll.EPMMemberDesc(W14))</f>
        <v>WORKING BUDGET</v>
      </c>
      <c r="X31" s="198" t="str">
        <f>IF($L$22="FORECAST",IF(OR(X11="A",X11="PA")=TRUE,"ACTUAL",_xll.EPMMemberDesc(X14)),_xll.EPMMemberDesc(X14))</f>
        <v>WORKING BUDGET</v>
      </c>
      <c r="Y31" s="198" t="str">
        <f>IF($L$22="FORECAST",IF(OR(Y11="A",Y11="PA")=TRUE,"ACTUAL",_xll.EPMMemberDesc(Y14)),_xll.EPMMemberDesc(Y14))</f>
        <v>WORKING BUDGET</v>
      </c>
      <c r="Z31" s="198" t="str">
        <f>IF($L$22="FORECAST",IF(OR(Z11="A",Z11="PA")=TRUE,"ACTUAL",_xll.EPMMemberDesc(Z14)),_xll.EPMMemberDesc(Z14))</f>
        <v>WORKING BUDGET</v>
      </c>
      <c r="AA31" s="198" t="str">
        <f>IF($L$22="FORECAST",IF(OR(AA11="A",AA11="PA")=TRUE,"ACTUAL",_xll.EPMMemberDesc(AA14)),_xll.EPMMemberDesc(AA14))</f>
        <v>WORKING BUDGET</v>
      </c>
    </row>
    <row r="32" spans="1:27" ht="15" customHeight="1" x14ac:dyDescent="0.2">
      <c r="I32" s="195"/>
      <c r="J32" s="199" t="s">
        <v>225</v>
      </c>
      <c r="K32" s="200" t="s">
        <v>226</v>
      </c>
      <c r="L32" s="200" t="s">
        <v>227</v>
      </c>
      <c r="M32" s="197" t="str">
        <f>_xll.EPMSelectMember(,LEFT($L$24,5)&amp;"DEC")</f>
        <v>2021.DEC</v>
      </c>
      <c r="N32" s="197" t="str">
        <f>_xll.EPMSelectMember(,LEFT($L$24,5)&amp;"DEC")</f>
        <v>2021.DEC</v>
      </c>
      <c r="O32" s="201" t="str">
        <f>_xll.EPMMemberDesc(O13)</f>
        <v>2020 DEC</v>
      </c>
      <c r="P32" s="201" t="str">
        <f>_xll.EPMMemberDesc(P13)</f>
        <v>2021 JAN</v>
      </c>
      <c r="Q32" s="201" t="str">
        <f>_xll.EPMMemberDesc(Q13)</f>
        <v>2021 FEB</v>
      </c>
      <c r="R32" s="201" t="str">
        <f>_xll.EPMMemberDesc(R13)</f>
        <v>2021 MAR</v>
      </c>
      <c r="S32" s="201" t="str">
        <f>_xll.EPMMemberDesc(S13)</f>
        <v>2021 APR</v>
      </c>
      <c r="T32" s="201" t="str">
        <f>_xll.EPMMemberDesc(T13)</f>
        <v>2021 MAY</v>
      </c>
      <c r="U32" s="201" t="str">
        <f>_xll.EPMMemberDesc(U13)</f>
        <v>2021 JUN</v>
      </c>
      <c r="V32" s="201" t="str">
        <f>_xll.EPMMemberDesc(V13)</f>
        <v>2021 JUL</v>
      </c>
      <c r="W32" s="201" t="str">
        <f>_xll.EPMMemberDesc(W13)</f>
        <v>2021 AUG</v>
      </c>
      <c r="X32" s="201" t="str">
        <f>_xll.EPMMemberDesc(X13)</f>
        <v>2021 SEP</v>
      </c>
      <c r="Y32" s="201" t="str">
        <f>_xll.EPMMemberDesc(Y13)</f>
        <v>2021 OCT</v>
      </c>
      <c r="Z32" s="201" t="str">
        <f>_xll.EPMMemberDesc(Z13)</f>
        <v>2021 NOV</v>
      </c>
      <c r="AA32" s="201" t="str">
        <f>_xll.EPMMemberDesc(AA13)</f>
        <v>2021 DEC</v>
      </c>
    </row>
    <row r="33" spans="9:27" ht="8.6999999999999993" customHeight="1" x14ac:dyDescent="0.2">
      <c r="I33" s="195"/>
      <c r="J33" s="195"/>
      <c r="K33" s="195"/>
      <c r="L33" s="195"/>
      <c r="M33" s="195"/>
      <c r="N33" s="195"/>
    </row>
    <row r="34" spans="9:27" ht="15" customHeight="1" x14ac:dyDescent="0.2">
      <c r="J34" s="202" t="str">
        <f xml:space="preserve"> _xll.EPMOlapMemberO("[COSTCENTER].[PARENTH1].[1001]","","1001","","000")</f>
        <v>1001</v>
      </c>
      <c r="K34" s="202" t="str">
        <f xml:space="preserve"> _xll.EPMOlapMemberO("[C_ACCOUNT].[PARENTH1].[ASSETS]","","ASSETS","","000")</f>
        <v>ASSETS</v>
      </c>
      <c r="L34" s="202" t="str">
        <f>_xll.EPMMemberDesc(K34)</f>
        <v>ASSETS</v>
      </c>
      <c r="M34" s="203">
        <v>0</v>
      </c>
      <c r="N34" s="203">
        <v>0</v>
      </c>
      <c r="O34" s="203">
        <v>0</v>
      </c>
      <c r="P34" s="203">
        <v>9837894830.7834415</v>
      </c>
      <c r="Q34" s="203">
        <v>9877810849.4760246</v>
      </c>
      <c r="R34" s="203">
        <v>9950615078.9201508</v>
      </c>
      <c r="S34" s="203">
        <v>10007572639.438999</v>
      </c>
      <c r="T34" s="203">
        <v>10075351636.892029</v>
      </c>
      <c r="U34" s="203">
        <v>10229633469.52298</v>
      </c>
      <c r="V34" s="203">
        <v>10272306383.364033</v>
      </c>
      <c r="W34" s="203">
        <v>10303380101.195673</v>
      </c>
      <c r="X34" s="203">
        <v>10374519582.928949</v>
      </c>
      <c r="Y34" s="203">
        <v>10389745871.662462</v>
      </c>
      <c r="Z34" s="203">
        <v>10484312562.100817</v>
      </c>
      <c r="AA34" s="203">
        <v>10530584045.840672</v>
      </c>
    </row>
    <row r="35" spans="9:27" ht="15" customHeight="1" x14ac:dyDescent="0.2">
      <c r="J35" s="202" t="str">
        <f xml:space="preserve"> _xll.EPMOlapMemberO("[COSTCENTER].[PARENTH1].[1001]","","1001","","000")</f>
        <v>1001</v>
      </c>
      <c r="K35" s="204" t="str">
        <f xml:space="preserve"> _xll.EPMOlapMemberO("[C_ACCOUNT].[PARENTH1].[CURRENT_ASSETS]","","CURRENT_ASSETS","","000")</f>
        <v>CURRENT_ASSETS</v>
      </c>
      <c r="L35" s="202" t="str">
        <f>_xll.EPMMemberDesc(K35)</f>
        <v>CURRENT ASSETS</v>
      </c>
      <c r="M35" s="203">
        <v>0</v>
      </c>
      <c r="N35" s="203">
        <v>0</v>
      </c>
      <c r="O35" s="203">
        <v>0</v>
      </c>
      <c r="P35" s="203">
        <v>361041099.12541771</v>
      </c>
      <c r="Q35" s="203">
        <v>353939248.38269079</v>
      </c>
      <c r="R35" s="203">
        <v>365315063.33069998</v>
      </c>
      <c r="S35" s="203">
        <v>370558825.68301523</v>
      </c>
      <c r="T35" s="203">
        <v>380559478.38587499</v>
      </c>
      <c r="U35" s="203">
        <v>410466531.36497527</v>
      </c>
      <c r="V35" s="203">
        <v>406312612.76222712</v>
      </c>
      <c r="W35" s="203">
        <v>391724793.63984352</v>
      </c>
      <c r="X35" s="203">
        <v>407653228.2371406</v>
      </c>
      <c r="Y35" s="203">
        <v>372575180.5621593</v>
      </c>
      <c r="Z35" s="203">
        <v>350313888.59554732</v>
      </c>
      <c r="AA35" s="203">
        <v>341989968.83701831</v>
      </c>
    </row>
    <row r="36" spans="9:27" ht="15" customHeight="1" x14ac:dyDescent="0.2">
      <c r="J36" s="202" t="str">
        <f xml:space="preserve"> _xll.EPMOlapMemberO("[COSTCENTER].[PARENTH1].[1001]","","1001","","000")</f>
        <v>1001</v>
      </c>
      <c r="K36" s="205" t="str">
        <f xml:space="preserve"> _xll.EPMOlapMemberO("[C_ACCOUNT].[PARENTH1].[CASH_EQUIVALENTS]","","CASH_EQUIVALENTS","","000")</f>
        <v>CASH_EQUIVALENTS</v>
      </c>
      <c r="L36" s="202" t="str">
        <f>_xll.EPMMemberDesc(K36)</f>
        <v>Cash and Cash Equivalents</v>
      </c>
      <c r="M36" s="203">
        <v>0</v>
      </c>
      <c r="N36" s="203">
        <v>0</v>
      </c>
      <c r="O36" s="203">
        <v>0</v>
      </c>
      <c r="P36" s="203">
        <v>1000000</v>
      </c>
      <c r="Q36" s="203">
        <v>1000000</v>
      </c>
      <c r="R36" s="203">
        <v>1000000</v>
      </c>
      <c r="S36" s="203">
        <v>1000000</v>
      </c>
      <c r="T36" s="203">
        <v>1000000</v>
      </c>
      <c r="U36" s="203">
        <v>1000000</v>
      </c>
      <c r="V36" s="203">
        <v>1000000</v>
      </c>
      <c r="W36" s="203">
        <v>1000000</v>
      </c>
      <c r="X36" s="203">
        <v>1000000</v>
      </c>
      <c r="Y36" s="203">
        <v>1000000</v>
      </c>
      <c r="Z36" s="203">
        <v>1000000</v>
      </c>
      <c r="AA36" s="203">
        <v>1000000</v>
      </c>
    </row>
    <row r="37" spans="9:27" ht="15" customHeight="1" x14ac:dyDescent="0.25">
      <c r="J37" s="206" t="str">
        <f xml:space="preserve"> _xll.EPMOlapMemberO("[COSTCENTER].[PARENTH1].[1001]","","1001","","000")</f>
        <v>1001</v>
      </c>
      <c r="K37" s="207" t="str">
        <f xml:space="preserve"> _xll.EPMOlapMemberO("[C_ACCOUNT].[PARENTH1].[A_1360010]","","A_1360010","","000")</f>
        <v>A_1360010</v>
      </c>
      <c r="L37" s="208" t="str">
        <f>_xll.EPMMemberDesc(K37)</f>
        <v>Cash Equiv - Investments (0-90 Days) Local Currency</v>
      </c>
      <c r="M37" s="208">
        <v>0</v>
      </c>
      <c r="N37" s="208">
        <v>0</v>
      </c>
      <c r="O37" s="208">
        <v>0</v>
      </c>
      <c r="P37" s="208">
        <v>1000000</v>
      </c>
      <c r="Q37" s="208">
        <v>1000000</v>
      </c>
      <c r="R37" s="208">
        <v>1000000</v>
      </c>
      <c r="S37" s="208">
        <v>1000000</v>
      </c>
      <c r="T37" s="208">
        <v>1000000</v>
      </c>
      <c r="U37" s="208">
        <v>1000000</v>
      </c>
      <c r="V37" s="208">
        <v>1000000</v>
      </c>
      <c r="W37" s="208">
        <v>1000000</v>
      </c>
      <c r="X37" s="208">
        <v>1000000</v>
      </c>
      <c r="Y37" s="208">
        <v>1000000</v>
      </c>
      <c r="Z37" s="208">
        <v>1000000</v>
      </c>
      <c r="AA37" s="208">
        <v>1000000</v>
      </c>
    </row>
    <row r="38" spans="9:27" ht="15" customHeight="1" x14ac:dyDescent="0.2">
      <c r="J38" s="202" t="str">
        <f xml:space="preserve"> _xll.EPMOlapMemberO("[COSTCENTER].[PARENTH1].[1001]","","1001","","000")</f>
        <v>1001</v>
      </c>
      <c r="K38" s="205" t="str">
        <f xml:space="preserve"> _xll.EPMOlapMemberO("[C_ACCOUNT].[PARENTH1].[RECEIVABLE_UNCOLL]","","RECEIVABLE_UNCOLL","","000")</f>
        <v>RECEIVABLE_UNCOLL</v>
      </c>
      <c r="L38" s="202" t="str">
        <f>_xll.EPMMemberDesc(K38)</f>
        <v>Receivables. less allowance for uncollectibles</v>
      </c>
      <c r="M38" s="203">
        <v>0</v>
      </c>
      <c r="N38" s="203">
        <v>0</v>
      </c>
      <c r="O38" s="203">
        <v>0</v>
      </c>
      <c r="P38" s="203">
        <v>180622861.95599109</v>
      </c>
      <c r="Q38" s="203">
        <v>175763489.42048481</v>
      </c>
      <c r="R38" s="203">
        <v>172021889.3457132</v>
      </c>
      <c r="S38" s="203">
        <v>181133413.34776881</v>
      </c>
      <c r="T38" s="203">
        <v>197196739.6772559</v>
      </c>
      <c r="U38" s="203">
        <v>222828239.272773</v>
      </c>
      <c r="V38" s="203">
        <v>226629665.7880069</v>
      </c>
      <c r="W38" s="203">
        <v>219907805.39962009</v>
      </c>
      <c r="X38" s="203">
        <v>246125693.7306737</v>
      </c>
      <c r="Y38" s="203">
        <v>213040639.6031678</v>
      </c>
      <c r="Z38" s="203">
        <v>191750460.5404295</v>
      </c>
      <c r="AA38" s="203">
        <v>183694103.08344331</v>
      </c>
    </row>
    <row r="39" spans="9:27" ht="15" customHeight="1" x14ac:dyDescent="0.2">
      <c r="J39" s="202" t="str">
        <f xml:space="preserve"> _xll.EPMOlapMemberO("[COSTCENTER].[PARENTH1].[1001]","","1001","","000")</f>
        <v>1001</v>
      </c>
      <c r="K39" s="209" t="str">
        <f xml:space="preserve"> _xll.EPMOlapMemberO("[C_ACCOUNT].[PARENTH1].[RECEIVABLE]","","RECEIVABLE","","000")</f>
        <v>RECEIVABLE</v>
      </c>
      <c r="L39" s="202" t="str">
        <f>_xll.EPMMemberDesc(K39)</f>
        <v>Accounts Receivables - Outsiders</v>
      </c>
      <c r="M39" s="203">
        <v>0</v>
      </c>
      <c r="N39" s="203">
        <v>0</v>
      </c>
      <c r="O39" s="203">
        <v>0</v>
      </c>
      <c r="P39" s="203">
        <v>116764778.5198575</v>
      </c>
      <c r="Q39" s="203">
        <v>116172869.2007115</v>
      </c>
      <c r="R39" s="203">
        <v>110055878.3605095</v>
      </c>
      <c r="S39" s="203">
        <v>115191116.14957251</v>
      </c>
      <c r="T39" s="203">
        <v>122537643.68980449</v>
      </c>
      <c r="U39" s="203">
        <v>146146224.45455</v>
      </c>
      <c r="V39" s="203">
        <v>148201024.23270199</v>
      </c>
      <c r="W39" s="203">
        <v>136859031.18710101</v>
      </c>
      <c r="X39" s="203">
        <v>169856630.261206</v>
      </c>
      <c r="Y39" s="203">
        <v>141916399.6845755</v>
      </c>
      <c r="Z39" s="203">
        <v>127208473.70980451</v>
      </c>
      <c r="AA39" s="203">
        <v>117324893.00242551</v>
      </c>
    </row>
    <row r="40" spans="9:27" ht="15" customHeight="1" x14ac:dyDescent="0.25">
      <c r="J40" s="206" t="str">
        <f xml:space="preserve"> _xll.EPMOlapMemberO("[COSTCENTER].[PARENTH1].[1001]","","1001","","000")</f>
        <v>1001</v>
      </c>
      <c r="K40" s="210" t="str">
        <f xml:space="preserve"> _xll.EPMOlapMemberO("[C_ACCOUNT].[PARENTH1].[A_1420400]","","A_1420400","","000")</f>
        <v>A_1420400</v>
      </c>
      <c r="L40" s="208" t="str">
        <f>_xll.EPMMemberDesc(K40)</f>
        <v>AR - CRM (includes TEC-R) (RECON)</v>
      </c>
      <c r="M40" s="208">
        <v>0</v>
      </c>
      <c r="N40" s="208">
        <v>0</v>
      </c>
      <c r="O40" s="208">
        <v>0</v>
      </c>
      <c r="P40" s="208">
        <v>113229061.62633</v>
      </c>
      <c r="Q40" s="208">
        <v>112641111.307184</v>
      </c>
      <c r="R40" s="208">
        <v>106513340.46698201</v>
      </c>
      <c r="S40" s="208">
        <v>111651526.256045</v>
      </c>
      <c r="T40" s="208">
        <v>118989070.796277</v>
      </c>
      <c r="U40" s="208">
        <v>142626482.03354999</v>
      </c>
      <c r="V40" s="208">
        <v>144693308.81170201</v>
      </c>
      <c r="W40" s="208">
        <v>133350724.766101</v>
      </c>
      <c r="X40" s="208">
        <v>166343213.840206</v>
      </c>
      <c r="Y40" s="208">
        <v>138382812.79104799</v>
      </c>
      <c r="Z40" s="208">
        <v>123675348.816277</v>
      </c>
      <c r="AA40" s="208">
        <v>113791036.108898</v>
      </c>
    </row>
    <row r="41" spans="9:27" ht="15" customHeight="1" x14ac:dyDescent="0.25">
      <c r="J41" s="206" t="str">
        <f xml:space="preserve"> _xll.EPMOlapMemberO("[COSTCENTER].[PARENTH1].[1001]","","1001","","000")</f>
        <v>1001</v>
      </c>
      <c r="K41" s="210" t="str">
        <f xml:space="preserve"> _xll.EPMOlapMemberO("[C_ACCOUNT].[PARENTH1].[A_1420401]","","A_1420401","","000")</f>
        <v>A_1420401</v>
      </c>
      <c r="L41" s="208" t="str">
        <f>_xll.EPMMemberDesc(K41)</f>
        <v>AR - CRM (includes TEC-R) (Posting)</v>
      </c>
      <c r="M41" s="208">
        <v>0</v>
      </c>
      <c r="N41" s="208">
        <v>0</v>
      </c>
      <c r="O41" s="208">
        <v>0</v>
      </c>
      <c r="P41" s="208">
        <v>-286267.81</v>
      </c>
      <c r="Q41" s="208">
        <v>-286267.81</v>
      </c>
      <c r="R41" s="208">
        <v>-286267.81</v>
      </c>
      <c r="S41" s="208">
        <v>-286267.81</v>
      </c>
      <c r="T41" s="208">
        <v>-286267.81</v>
      </c>
      <c r="U41" s="208">
        <v>-286267.81</v>
      </c>
      <c r="V41" s="208">
        <v>-286267.81</v>
      </c>
      <c r="W41" s="208">
        <v>-286267.81</v>
      </c>
      <c r="X41" s="208">
        <v>-286267.81</v>
      </c>
      <c r="Y41" s="208">
        <v>-286267.81</v>
      </c>
      <c r="Z41" s="208">
        <v>-286267.81</v>
      </c>
      <c r="AA41" s="208">
        <v>-286267.81</v>
      </c>
    </row>
    <row r="42" spans="9:27" ht="15" customHeight="1" x14ac:dyDescent="0.25">
      <c r="J42" s="206" t="str">
        <f xml:space="preserve"> _xll.EPMOlapMemberO("[COSTCENTER].[PARENTH1].[1001]","","1001","","000")</f>
        <v>1001</v>
      </c>
      <c r="K42" s="210" t="str">
        <f xml:space="preserve"> _xll.EPMOlapMemberO("[C_ACCOUNT].[PARENTH1].[A_1430000]","","A_1430000","","000")</f>
        <v>A_1430000</v>
      </c>
      <c r="L42" s="208" t="str">
        <f>_xll.EPMMemberDesc(K42)</f>
        <v>AR Misc Other (RECON)</v>
      </c>
      <c r="M42" s="208">
        <v>0</v>
      </c>
      <c r="N42" s="208">
        <v>0</v>
      </c>
      <c r="O42" s="208">
        <v>0</v>
      </c>
      <c r="P42" s="208">
        <v>3000000</v>
      </c>
      <c r="Q42" s="208">
        <v>3000000</v>
      </c>
      <c r="R42" s="208">
        <v>3000000</v>
      </c>
      <c r="S42" s="208">
        <v>3000000</v>
      </c>
      <c r="T42" s="208">
        <v>3000000</v>
      </c>
      <c r="U42" s="208">
        <v>3000000</v>
      </c>
      <c r="V42" s="208">
        <v>3000000</v>
      </c>
      <c r="W42" s="208">
        <v>3000000</v>
      </c>
      <c r="X42" s="208">
        <v>3000000</v>
      </c>
      <c r="Y42" s="208">
        <v>3000000</v>
      </c>
      <c r="Z42" s="208">
        <v>3000000</v>
      </c>
      <c r="AA42" s="208">
        <v>3000000</v>
      </c>
    </row>
    <row r="43" spans="9:27" ht="15" customHeight="1" x14ac:dyDescent="0.25">
      <c r="J43" s="206" t="str">
        <f xml:space="preserve"> _xll.EPMOlapMemberO("[COSTCENTER].[PARENTH1].[1001]","","1001","","000")</f>
        <v>1001</v>
      </c>
      <c r="K43" s="210" t="str">
        <f xml:space="preserve"> _xll.EPMOlapMemberO("[C_ACCOUNT].[PARENTH1].[A_1430001]","","A_1430001","","000")</f>
        <v>A_1430001</v>
      </c>
      <c r="L43" s="208" t="str">
        <f>_xll.EPMMemberDesc(K43)</f>
        <v>AR Misc Other (Posting)</v>
      </c>
      <c r="M43" s="208">
        <v>0</v>
      </c>
      <c r="N43" s="208">
        <v>0</v>
      </c>
      <c r="O43" s="208">
        <v>0</v>
      </c>
      <c r="P43" s="208">
        <v>821984.70352750004</v>
      </c>
      <c r="Q43" s="208">
        <v>818025.70352750004</v>
      </c>
      <c r="R43" s="208">
        <v>828805.70352750004</v>
      </c>
      <c r="S43" s="208">
        <v>825857.70352750004</v>
      </c>
      <c r="T43" s="208">
        <v>834840.70352750004</v>
      </c>
      <c r="U43" s="208">
        <v>806010.23100000003</v>
      </c>
      <c r="V43" s="208">
        <v>793983.23100000003</v>
      </c>
      <c r="W43" s="208">
        <v>794574.23100000003</v>
      </c>
      <c r="X43" s="208">
        <v>799684.23100000003</v>
      </c>
      <c r="Y43" s="208">
        <v>819854.70352750004</v>
      </c>
      <c r="Z43" s="208">
        <v>819392.70352750004</v>
      </c>
      <c r="AA43" s="208">
        <v>820124.70352750004</v>
      </c>
    </row>
    <row r="44" spans="9:27" ht="15" customHeight="1" x14ac:dyDescent="0.2">
      <c r="J44" s="202" t="str">
        <f xml:space="preserve"> _xll.EPMOlapMemberO("[COSTCENTER].[PARENTH1].[1001]","","1001","","000")</f>
        <v>1001</v>
      </c>
      <c r="K44" s="209" t="str">
        <f xml:space="preserve"> _xll.EPMOlapMemberO("[C_ACCOUNT].[PARENTH1].[AL_FOR_UNCOLL]","","AL_FOR_UNCOLL","","000")</f>
        <v>AL_FOR_UNCOLL</v>
      </c>
      <c r="L44" s="202" t="str">
        <f>_xll.EPMMemberDesc(K44)</f>
        <v>Allowance for Uncollectibles</v>
      </c>
      <c r="M44" s="203">
        <v>0</v>
      </c>
      <c r="N44" s="203">
        <v>0</v>
      </c>
      <c r="O44" s="203">
        <v>0</v>
      </c>
      <c r="P44" s="203">
        <v>-2063840.7838663999</v>
      </c>
      <c r="Q44" s="203">
        <v>-2081875.8402267001</v>
      </c>
      <c r="R44" s="203">
        <v>-2143421.1547963</v>
      </c>
      <c r="S44" s="203">
        <v>-2255059.3018037002</v>
      </c>
      <c r="T44" s="203">
        <v>-2389919.4125486002</v>
      </c>
      <c r="U44" s="203">
        <v>-2597005.6917770002</v>
      </c>
      <c r="V44" s="203">
        <v>-2701179.8046951001</v>
      </c>
      <c r="W44" s="203">
        <v>-2047037.3474808999</v>
      </c>
      <c r="X44" s="203">
        <v>-2068766.3405323001</v>
      </c>
      <c r="Y44" s="203">
        <v>-1901843.9714077001</v>
      </c>
      <c r="Z44" s="203">
        <v>-1779315.139375</v>
      </c>
      <c r="AA44" s="203">
        <v>-1740750.0089821999</v>
      </c>
    </row>
    <row r="45" spans="9:27" ht="15" customHeight="1" x14ac:dyDescent="0.25">
      <c r="J45" s="206" t="str">
        <f xml:space="preserve"> _xll.EPMOlapMemberO("[COSTCENTER].[PARENTH1].[1001]","","1001","","000")</f>
        <v>1001</v>
      </c>
      <c r="K45" s="210" t="str">
        <f xml:space="preserve"> _xll.EPMOlapMemberO("[C_ACCOUNT].[PARENTH1].[A_1440000]","","A_1440000","","000")</f>
        <v>A_1440000</v>
      </c>
      <c r="L45" s="208" t="str">
        <f>_xll.EPMMemberDesc(K45)</f>
        <v>Accumulated Provision for Uncollectible Accounts</v>
      </c>
      <c r="M45" s="208">
        <v>0</v>
      </c>
      <c r="N45" s="208">
        <v>0</v>
      </c>
      <c r="O45" s="208">
        <v>0</v>
      </c>
      <c r="P45" s="208">
        <v>-1441721.6238664</v>
      </c>
      <c r="Q45" s="208">
        <v>-1459756.6802266999</v>
      </c>
      <c r="R45" s="208">
        <v>-1521301.9947963001</v>
      </c>
      <c r="S45" s="208">
        <v>-1632940.1418037</v>
      </c>
      <c r="T45" s="208">
        <v>-1767800.2525486001</v>
      </c>
      <c r="U45" s="208">
        <v>-1974886.5317770001</v>
      </c>
      <c r="V45" s="208">
        <v>-2079060.6446950999</v>
      </c>
      <c r="W45" s="208">
        <v>-1424918.1874809</v>
      </c>
      <c r="X45" s="208">
        <v>-1446647.1805322999</v>
      </c>
      <c r="Y45" s="208">
        <v>-1279724.8114076999</v>
      </c>
      <c r="Z45" s="208">
        <v>-1157195.9793750001</v>
      </c>
      <c r="AA45" s="208">
        <v>-1118630.8489822</v>
      </c>
    </row>
    <row r="46" spans="9:27" ht="15" customHeight="1" x14ac:dyDescent="0.25">
      <c r="J46" s="206" t="str">
        <f xml:space="preserve"> _xll.EPMOlapMemberO("[COSTCENTER].[PARENTH1].[1001]","","1001","","000")</f>
        <v>1001</v>
      </c>
      <c r="K46" s="210" t="str">
        <f xml:space="preserve"> _xll.EPMOlapMemberO("[C_ACCOUNT].[PARENTH1].[A_1440001]","","A_1440001","","000")</f>
        <v>A_1440001</v>
      </c>
      <c r="L46" s="208" t="str">
        <f>_xll.EPMMemberDesc(K46)</f>
        <v>Accum Provision for Uncollectible Accts - CRM FF</v>
      </c>
      <c r="M46" s="208">
        <v>0</v>
      </c>
      <c r="N46" s="208">
        <v>0</v>
      </c>
      <c r="O46" s="208">
        <v>0</v>
      </c>
      <c r="P46" s="208">
        <v>297228.65999999997</v>
      </c>
      <c r="Q46" s="208">
        <v>297228.65999999997</v>
      </c>
      <c r="R46" s="208">
        <v>297228.65999999997</v>
      </c>
      <c r="S46" s="208">
        <v>297228.65999999997</v>
      </c>
      <c r="T46" s="208">
        <v>297228.65999999997</v>
      </c>
      <c r="U46" s="208">
        <v>297228.65999999997</v>
      </c>
      <c r="V46" s="208">
        <v>297228.65999999997</v>
      </c>
      <c r="W46" s="208">
        <v>297228.65999999997</v>
      </c>
      <c r="X46" s="208">
        <v>297228.65999999997</v>
      </c>
      <c r="Y46" s="208">
        <v>297228.65999999997</v>
      </c>
      <c r="Z46" s="208">
        <v>297228.65999999997</v>
      </c>
      <c r="AA46" s="208">
        <v>297228.65999999997</v>
      </c>
    </row>
    <row r="47" spans="9:27" ht="15" customHeight="1" x14ac:dyDescent="0.25">
      <c r="J47" s="206" t="str">
        <f xml:space="preserve"> _xll.EPMOlapMemberO("[COSTCENTER].[PARENTH1].[1001]","","1001","","000")</f>
        <v>1001</v>
      </c>
      <c r="K47" s="210" t="str">
        <f xml:space="preserve"> _xll.EPMOlapMemberO("[C_ACCOUNT].[PARENTH1].[A_1440002]","","A_1440002","","000")</f>
        <v>A_1440002</v>
      </c>
      <c r="L47" s="208" t="str">
        <f>_xll.EPMMemberDesc(K47)</f>
        <v>Accum Provision for Uncollectible Accts - CRM GRT</v>
      </c>
      <c r="M47" s="208">
        <v>0</v>
      </c>
      <c r="N47" s="208">
        <v>0</v>
      </c>
      <c r="O47" s="208">
        <v>0</v>
      </c>
      <c r="P47" s="208">
        <v>282928.83</v>
      </c>
      <c r="Q47" s="208">
        <v>282928.83</v>
      </c>
      <c r="R47" s="208">
        <v>282928.83</v>
      </c>
      <c r="S47" s="208">
        <v>282928.83</v>
      </c>
      <c r="T47" s="208">
        <v>282928.83</v>
      </c>
      <c r="U47" s="208">
        <v>282928.83</v>
      </c>
      <c r="V47" s="208">
        <v>282928.83</v>
      </c>
      <c r="W47" s="208">
        <v>282928.83</v>
      </c>
      <c r="X47" s="208">
        <v>282928.83</v>
      </c>
      <c r="Y47" s="208">
        <v>282928.83</v>
      </c>
      <c r="Z47" s="208">
        <v>282928.83</v>
      </c>
      <c r="AA47" s="208">
        <v>282928.83</v>
      </c>
    </row>
    <row r="48" spans="9:27" ht="15" customHeight="1" x14ac:dyDescent="0.25">
      <c r="J48" s="206" t="str">
        <f xml:space="preserve"> _xll.EPMOlapMemberO("[COSTCENTER].[PARENTH1].[1001]","","1001","","000")</f>
        <v>1001</v>
      </c>
      <c r="K48" s="210" t="str">
        <f xml:space="preserve"> _xll.EPMOlapMemberO("[C_ACCOUNT].[PARENTH1].[A_1440020]","","A_1440020","","000")</f>
        <v>A_1440020</v>
      </c>
      <c r="L48" s="208" t="str">
        <f>_xll.EPMMemberDesc(K48)</f>
        <v>Accum Provision for Uncollectible - Misc Billing</v>
      </c>
      <c r="M48" s="208">
        <v>0</v>
      </c>
      <c r="N48" s="208">
        <v>0</v>
      </c>
      <c r="O48" s="208">
        <v>0</v>
      </c>
      <c r="P48" s="208">
        <v>-1202276.6499999999</v>
      </c>
      <c r="Q48" s="208">
        <v>-1202276.6499999999</v>
      </c>
      <c r="R48" s="208">
        <v>-1202276.6499999999</v>
      </c>
      <c r="S48" s="208">
        <v>-1202276.6499999999</v>
      </c>
      <c r="T48" s="208">
        <v>-1202276.6499999999</v>
      </c>
      <c r="U48" s="208">
        <v>-1202276.6499999999</v>
      </c>
      <c r="V48" s="208">
        <v>-1202276.6499999999</v>
      </c>
      <c r="W48" s="208">
        <v>-1202276.6499999999</v>
      </c>
      <c r="X48" s="208">
        <v>-1202276.6499999999</v>
      </c>
      <c r="Y48" s="208">
        <v>-1202276.6499999999</v>
      </c>
      <c r="Z48" s="208">
        <v>-1202276.6499999999</v>
      </c>
      <c r="AA48" s="208">
        <v>-1202276.6499999999</v>
      </c>
    </row>
    <row r="49" spans="10:27" ht="15" customHeight="1" x14ac:dyDescent="0.2">
      <c r="J49" s="202" t="str">
        <f xml:space="preserve"> _xll.EPMOlapMemberO("[COSTCENTER].[PARENTH1].[1001]","","1001","","000")</f>
        <v>1001</v>
      </c>
      <c r="K49" s="209" t="str">
        <f xml:space="preserve"> _xll.EPMOlapMemberO("[C_ACCOUNT].[PARENTH1].[UNBILLED_REV_REC]","","Unbilled_Rev_Rec","","000")</f>
        <v>Unbilled_Rev_Rec</v>
      </c>
      <c r="L49" s="202" t="str">
        <f>_xll.EPMMemberDesc(K49)</f>
        <v>Unbilled revenue receivable</v>
      </c>
      <c r="M49" s="203">
        <v>0</v>
      </c>
      <c r="N49" s="203">
        <v>0</v>
      </c>
      <c r="O49" s="203">
        <v>0</v>
      </c>
      <c r="P49" s="203">
        <v>54802772.359999999</v>
      </c>
      <c r="Q49" s="203">
        <v>50553344.200000003</v>
      </c>
      <c r="R49" s="203">
        <v>52990280.280000001</v>
      </c>
      <c r="S49" s="203">
        <v>57078204.640000001</v>
      </c>
      <c r="T49" s="203">
        <v>65929863.539999999</v>
      </c>
      <c r="U49" s="203">
        <v>68159868.650000006</v>
      </c>
      <c r="V49" s="203">
        <v>70010669.5</v>
      </c>
      <c r="W49" s="203">
        <v>73976659.700000003</v>
      </c>
      <c r="X49" s="203">
        <v>67218677.950000003</v>
      </c>
      <c r="Y49" s="203">
        <v>61906932.030000001</v>
      </c>
      <c r="Z49" s="203">
        <v>55202150.109999999</v>
      </c>
      <c r="AA49" s="203">
        <v>56990808.229999997</v>
      </c>
    </row>
    <row r="50" spans="10:27" ht="15" customHeight="1" x14ac:dyDescent="0.25">
      <c r="J50" s="206" t="str">
        <f xml:space="preserve"> _xll.EPMOlapMemberO("[COSTCENTER].[PARENTH1].[1001]","","1001","","000")</f>
        <v>1001</v>
      </c>
      <c r="K50" s="210" t="str">
        <f xml:space="preserve"> _xll.EPMOlapMemberO("[C_ACCOUNT].[PARENTH1].[A_1730100]","","A_1730100","","000")</f>
        <v>A_1730100</v>
      </c>
      <c r="L50" s="208" t="str">
        <f>_xll.EPMMemberDesc(K50)</f>
        <v>Accrued Utility Revenues - Current</v>
      </c>
      <c r="M50" s="208">
        <v>0</v>
      </c>
      <c r="N50" s="208">
        <v>0</v>
      </c>
      <c r="O50" s="208">
        <v>0</v>
      </c>
      <c r="P50" s="208">
        <v>54802772.359999999</v>
      </c>
      <c r="Q50" s="208">
        <v>50553344.200000003</v>
      </c>
      <c r="R50" s="208">
        <v>52990280.280000001</v>
      </c>
      <c r="S50" s="208">
        <v>57078204.640000001</v>
      </c>
      <c r="T50" s="208">
        <v>65929863.539999999</v>
      </c>
      <c r="U50" s="208">
        <v>68159868.650000006</v>
      </c>
      <c r="V50" s="208">
        <v>70010669.5</v>
      </c>
      <c r="W50" s="208">
        <v>73976659.700000003</v>
      </c>
      <c r="X50" s="208">
        <v>67218677.950000003</v>
      </c>
      <c r="Y50" s="208">
        <v>61906932.030000001</v>
      </c>
      <c r="Z50" s="208">
        <v>55202150.109999999</v>
      </c>
      <c r="AA50" s="208">
        <v>56990808.229999997</v>
      </c>
    </row>
    <row r="51" spans="10:27" ht="15" customHeight="1" x14ac:dyDescent="0.2">
      <c r="J51" s="202" t="str">
        <f xml:space="preserve"> _xll.EPMOlapMemberO("[COSTCENTER].[PARENTH1].[1001]","","1001","","000")</f>
        <v>1001</v>
      </c>
      <c r="K51" s="209" t="str">
        <f xml:space="preserve"> _xll.EPMOlapMemberO("[C_ACCOUNT].[PARENTH1].[TRD_REC_INTCO]","","TRD_Rec_IntCo","","000")</f>
        <v>TRD_Rec_IntCo</v>
      </c>
      <c r="L51" s="202" t="str">
        <f>_xll.EPMMemberDesc(K51)</f>
        <v>Trade receivable - intercompany</v>
      </c>
      <c r="M51" s="203">
        <v>0</v>
      </c>
      <c r="N51" s="203">
        <v>0</v>
      </c>
      <c r="O51" s="203">
        <v>0</v>
      </c>
      <c r="P51" s="203">
        <v>11119151.859999999</v>
      </c>
      <c r="Q51" s="203">
        <v>11119151.859999999</v>
      </c>
      <c r="R51" s="203">
        <v>11119151.859999999</v>
      </c>
      <c r="S51" s="203">
        <v>11119151.859999999</v>
      </c>
      <c r="T51" s="203">
        <v>11119151.859999999</v>
      </c>
      <c r="U51" s="203">
        <v>11119151.859999999</v>
      </c>
      <c r="V51" s="203">
        <v>11119151.859999999</v>
      </c>
      <c r="W51" s="203">
        <v>11119151.859999999</v>
      </c>
      <c r="X51" s="203">
        <v>11119151.859999999</v>
      </c>
      <c r="Y51" s="203">
        <v>11119151.859999999</v>
      </c>
      <c r="Z51" s="203">
        <v>11119151.859999999</v>
      </c>
      <c r="AA51" s="203">
        <v>11119151.859999999</v>
      </c>
    </row>
    <row r="52" spans="10:27" ht="15" customHeight="1" x14ac:dyDescent="0.25">
      <c r="J52" s="206" t="str">
        <f xml:space="preserve"> _xll.EPMOlapMemberO("[COSTCENTER].[PARENTH1].[1001]","","1001","","000")</f>
        <v>1001</v>
      </c>
      <c r="K52" s="210" t="str">
        <f xml:space="preserve"> _xll.EPMOlapMemberO("[C_ACCOUNT].[PARENTH1].[A_1460700]","","A_1460700","","000")</f>
        <v>A_1460700</v>
      </c>
      <c r="L52" s="208" t="str">
        <f>_xll.EPMMemberDesc(K52)</f>
        <v>Trade Receivable-Intercompany (RECON)</v>
      </c>
      <c r="M52" s="208">
        <v>0</v>
      </c>
      <c r="N52" s="208">
        <v>0</v>
      </c>
      <c r="O52" s="208">
        <v>0</v>
      </c>
      <c r="P52" s="208">
        <v>4521660.3099999996</v>
      </c>
      <c r="Q52" s="208">
        <v>4521660.3099999996</v>
      </c>
      <c r="R52" s="208">
        <v>4521660.3099999996</v>
      </c>
      <c r="S52" s="208">
        <v>4521660.3099999996</v>
      </c>
      <c r="T52" s="208">
        <v>4521660.3099999996</v>
      </c>
      <c r="U52" s="208">
        <v>4521660.3099999996</v>
      </c>
      <c r="V52" s="208">
        <v>4521660.3099999996</v>
      </c>
      <c r="W52" s="208">
        <v>4521660.3099999996</v>
      </c>
      <c r="X52" s="208">
        <v>4521660.3099999996</v>
      </c>
      <c r="Y52" s="208">
        <v>4521660.3099999996</v>
      </c>
      <c r="Z52" s="208">
        <v>4521660.3099999996</v>
      </c>
      <c r="AA52" s="208">
        <v>4521660.3099999996</v>
      </c>
    </row>
    <row r="53" spans="10:27" ht="15" customHeight="1" x14ac:dyDescent="0.25">
      <c r="J53" s="206" t="str">
        <f xml:space="preserve"> _xll.EPMOlapMemberO("[COSTCENTER].[PARENTH1].[1001]","","1001","","000")</f>
        <v>1001</v>
      </c>
      <c r="K53" s="210" t="str">
        <f xml:space="preserve"> _xll.EPMOlapMemberO("[C_ACCOUNT].[PARENTH1].[A_1460708]","","A_1460708","","000")</f>
        <v>A_1460708</v>
      </c>
      <c r="L53" s="208" t="str">
        <f>_xll.EPMMemberDesc(K53)</f>
        <v>Trade Receivable-Interco-Grand Bahama PowerCo E851</v>
      </c>
      <c r="M53" s="208">
        <v>0</v>
      </c>
      <c r="N53" s="208">
        <v>0</v>
      </c>
      <c r="O53" s="208">
        <v>0</v>
      </c>
      <c r="P53" s="208">
        <v>2833669.8</v>
      </c>
      <c r="Q53" s="208">
        <v>2833669.8</v>
      </c>
      <c r="R53" s="208">
        <v>2833669.8</v>
      </c>
      <c r="S53" s="208">
        <v>2833669.8</v>
      </c>
      <c r="T53" s="208">
        <v>2833669.8</v>
      </c>
      <c r="U53" s="208">
        <v>2833669.8</v>
      </c>
      <c r="V53" s="208">
        <v>2833669.8</v>
      </c>
      <c r="W53" s="208">
        <v>2833669.8</v>
      </c>
      <c r="X53" s="208">
        <v>2833669.8</v>
      </c>
      <c r="Y53" s="208">
        <v>2833669.8</v>
      </c>
      <c r="Z53" s="208">
        <v>2833669.8</v>
      </c>
      <c r="AA53" s="208">
        <v>2833669.8</v>
      </c>
    </row>
    <row r="54" spans="10:27" ht="15" customHeight="1" x14ac:dyDescent="0.25">
      <c r="J54" s="206" t="str">
        <f xml:space="preserve"> _xll.EPMOlapMemberO("[COSTCENTER].[PARENTH1].[1001]","","1001","","000")</f>
        <v>1001</v>
      </c>
      <c r="K54" s="210" t="str">
        <f xml:space="preserve"> _xll.EPMOlapMemberO("[C_ACCOUNT].[PARENTH1].[A_1460709]","","A_1460709","","000")</f>
        <v>A_1460709</v>
      </c>
      <c r="L54" s="208" t="str">
        <f>_xll.EPMMemberDesc(K54)</f>
        <v>Trade Receivable-Interco-Nova Scotia Power E001</v>
      </c>
      <c r="M54" s="208">
        <v>0</v>
      </c>
      <c r="N54" s="208">
        <v>0</v>
      </c>
      <c r="O54" s="208">
        <v>0</v>
      </c>
      <c r="P54" s="208">
        <v>13145.64</v>
      </c>
      <c r="Q54" s="208">
        <v>13145.64</v>
      </c>
      <c r="R54" s="208">
        <v>13145.64</v>
      </c>
      <c r="S54" s="208">
        <v>13145.64</v>
      </c>
      <c r="T54" s="208">
        <v>13145.64</v>
      </c>
      <c r="U54" s="208">
        <v>13145.64</v>
      </c>
      <c r="V54" s="208">
        <v>13145.64</v>
      </c>
      <c r="W54" s="208">
        <v>13145.64</v>
      </c>
      <c r="X54" s="208">
        <v>13145.64</v>
      </c>
      <c r="Y54" s="208">
        <v>13145.64</v>
      </c>
      <c r="Z54" s="208">
        <v>13145.64</v>
      </c>
      <c r="AA54" s="208">
        <v>13145.64</v>
      </c>
    </row>
    <row r="55" spans="10:27" ht="15" customHeight="1" x14ac:dyDescent="0.25">
      <c r="J55" s="206" t="str">
        <f xml:space="preserve"> _xll.EPMOlapMemberO("[COSTCENTER].[PARENTH1].[1001]","","1001","","000")</f>
        <v>1001</v>
      </c>
      <c r="K55" s="210" t="str">
        <f xml:space="preserve"> _xll.EPMOlapMemberO("[C_ACCOUNT].[PARENTH1].[A_1460760]","","A_1460760","","000")</f>
        <v>A_1460760</v>
      </c>
      <c r="L55" s="208" t="str">
        <f>_xll.EPMMemberDesc(K55)</f>
        <v>Trade Rec-Interco-Emera Caribbean Inc E855</v>
      </c>
      <c r="M55" s="208">
        <v>0</v>
      </c>
      <c r="N55" s="208">
        <v>0</v>
      </c>
      <c r="O55" s="208">
        <v>0</v>
      </c>
      <c r="P55" s="208">
        <v>159399.6</v>
      </c>
      <c r="Q55" s="208">
        <v>159399.6</v>
      </c>
      <c r="R55" s="208">
        <v>159399.6</v>
      </c>
      <c r="S55" s="208">
        <v>159399.6</v>
      </c>
      <c r="T55" s="208">
        <v>159399.6</v>
      </c>
      <c r="U55" s="208">
        <v>159399.6</v>
      </c>
      <c r="V55" s="208">
        <v>159399.6</v>
      </c>
      <c r="W55" s="208">
        <v>159399.6</v>
      </c>
      <c r="X55" s="208">
        <v>159399.6</v>
      </c>
      <c r="Y55" s="208">
        <v>159399.6</v>
      </c>
      <c r="Z55" s="208">
        <v>159399.6</v>
      </c>
      <c r="AA55" s="208">
        <v>159399.6</v>
      </c>
    </row>
    <row r="56" spans="10:27" ht="15" customHeight="1" x14ac:dyDescent="0.25">
      <c r="J56" s="206" t="str">
        <f xml:space="preserve"> _xll.EPMOlapMemberO("[COSTCENTER].[PARENTH1].[1001]","","1001","","000")</f>
        <v>1001</v>
      </c>
      <c r="K56" s="210" t="str">
        <f xml:space="preserve"> _xll.EPMOlapMemberO("[C_ACCOUNT].[PARENTH1].[A_1460761]","","A_1460761","","000")</f>
        <v>A_1460761</v>
      </c>
      <c r="L56" s="208" t="str">
        <f>_xll.EPMMemberDesc(K56)</f>
        <v>Trade Rec-Interco-Emera Maine E393</v>
      </c>
      <c r="M56" s="208">
        <v>0</v>
      </c>
      <c r="N56" s="208">
        <v>0</v>
      </c>
      <c r="O56" s="208">
        <v>0</v>
      </c>
      <c r="P56" s="208">
        <v>1298.9100000000001</v>
      </c>
      <c r="Q56" s="208">
        <v>1298.9100000000001</v>
      </c>
      <c r="R56" s="208">
        <v>1298.9100000000001</v>
      </c>
      <c r="S56" s="208">
        <v>1298.9100000000001</v>
      </c>
      <c r="T56" s="208">
        <v>1298.9100000000001</v>
      </c>
      <c r="U56" s="208">
        <v>1298.9100000000001</v>
      </c>
      <c r="V56" s="208">
        <v>1298.9100000000001</v>
      </c>
      <c r="W56" s="208">
        <v>1298.9100000000001</v>
      </c>
      <c r="X56" s="208">
        <v>1298.9100000000001</v>
      </c>
      <c r="Y56" s="208">
        <v>1298.9100000000001</v>
      </c>
      <c r="Z56" s="208">
        <v>1298.9100000000001</v>
      </c>
      <c r="AA56" s="208">
        <v>1298.9100000000001</v>
      </c>
    </row>
    <row r="57" spans="10:27" ht="15" customHeight="1" x14ac:dyDescent="0.25">
      <c r="J57" s="206" t="str">
        <f xml:space="preserve"> _xll.EPMOlapMemberO("[COSTCENTER].[PARENTH1].[1001]","","1001","","000")</f>
        <v>1001</v>
      </c>
      <c r="K57" s="210" t="str">
        <f xml:space="preserve"> _xll.EPMOlapMemberO("[C_ACCOUNT].[PARENTH1].[A_1460762]","","A_1460762","","000")</f>
        <v>A_1460762</v>
      </c>
      <c r="L57" s="208" t="str">
        <f>_xll.EPMMemberDesc(K57)</f>
        <v>Trade Rec-Interco-Emera Energy Services Inc. E016</v>
      </c>
      <c r="M57" s="208">
        <v>0</v>
      </c>
      <c r="N57" s="208">
        <v>0</v>
      </c>
      <c r="O57" s="208">
        <v>0</v>
      </c>
      <c r="P57" s="208">
        <v>7260.13</v>
      </c>
      <c r="Q57" s="208">
        <v>7260.13</v>
      </c>
      <c r="R57" s="208">
        <v>7260.13</v>
      </c>
      <c r="S57" s="208">
        <v>7260.13</v>
      </c>
      <c r="T57" s="208">
        <v>7260.13</v>
      </c>
      <c r="U57" s="208">
        <v>7260.13</v>
      </c>
      <c r="V57" s="208">
        <v>7260.13</v>
      </c>
      <c r="W57" s="208">
        <v>7260.13</v>
      </c>
      <c r="X57" s="208">
        <v>7260.13</v>
      </c>
      <c r="Y57" s="208">
        <v>7260.13</v>
      </c>
      <c r="Z57" s="208">
        <v>7260.13</v>
      </c>
      <c r="AA57" s="208">
        <v>7260.13</v>
      </c>
    </row>
    <row r="58" spans="10:27" ht="15" customHeight="1" x14ac:dyDescent="0.25">
      <c r="J58" s="206" t="str">
        <f xml:space="preserve"> _xll.EPMOlapMemberO("[COSTCENTER].[PARENTH1].[1001]","","1001","","000")</f>
        <v>1001</v>
      </c>
      <c r="K58" s="210" t="str">
        <f xml:space="preserve"> _xll.EPMOlapMemberO("[C_ACCOUNT].[PARENTH1].[A_1460780]","","A_1460780","","000")</f>
        <v>A_1460780</v>
      </c>
      <c r="L58" s="208" t="str">
        <f>_xll.EPMMemberDesc(K58)</f>
        <v>Trade Receivable-Emera Interco on SAP  E410 (RECON)</v>
      </c>
      <c r="M58" s="208">
        <v>0</v>
      </c>
      <c r="N58" s="208">
        <v>0</v>
      </c>
      <c r="O58" s="208">
        <v>0</v>
      </c>
      <c r="P58" s="208">
        <v>17601.7</v>
      </c>
      <c r="Q58" s="208">
        <v>17601.7</v>
      </c>
      <c r="R58" s="208">
        <v>17601.7</v>
      </c>
      <c r="S58" s="208">
        <v>17601.7</v>
      </c>
      <c r="T58" s="208">
        <v>17601.7</v>
      </c>
      <c r="U58" s="208">
        <v>17601.7</v>
      </c>
      <c r="V58" s="208">
        <v>17601.7</v>
      </c>
      <c r="W58" s="208">
        <v>17601.7</v>
      </c>
      <c r="X58" s="208">
        <v>17601.7</v>
      </c>
      <c r="Y58" s="208">
        <v>17601.7</v>
      </c>
      <c r="Z58" s="208">
        <v>17601.7</v>
      </c>
      <c r="AA58" s="208">
        <v>17601.7</v>
      </c>
    </row>
    <row r="59" spans="10:27" ht="15" customHeight="1" x14ac:dyDescent="0.25">
      <c r="J59" s="206" t="str">
        <f xml:space="preserve"> _xll.EPMOlapMemberO("[COSTCENTER].[PARENTH1].[1001]","","1001","","000")</f>
        <v>1001</v>
      </c>
      <c r="K59" s="210" t="str">
        <f xml:space="preserve"> _xll.EPMOlapMemberO("[C_ACCOUNT].[PARENTH1].[A_1460791]","","A_1460791","","000")</f>
        <v>A_1460791</v>
      </c>
      <c r="L59" s="208" t="str">
        <f>_xll.EPMMemberDesc(K59)</f>
        <v>Trade Receivable-Emera Intercompany (Posting)</v>
      </c>
      <c r="M59" s="208">
        <v>0</v>
      </c>
      <c r="N59" s="208">
        <v>0</v>
      </c>
      <c r="O59" s="208">
        <v>0</v>
      </c>
      <c r="P59" s="208">
        <v>24000</v>
      </c>
      <c r="Q59" s="208">
        <v>24000</v>
      </c>
      <c r="R59" s="208">
        <v>24000</v>
      </c>
      <c r="S59" s="208">
        <v>24000</v>
      </c>
      <c r="T59" s="208">
        <v>24000</v>
      </c>
      <c r="U59" s="208">
        <v>24000</v>
      </c>
      <c r="V59" s="208">
        <v>24000</v>
      </c>
      <c r="W59" s="208">
        <v>24000</v>
      </c>
      <c r="X59" s="208">
        <v>24000</v>
      </c>
      <c r="Y59" s="208">
        <v>24000</v>
      </c>
      <c r="Z59" s="208">
        <v>24000</v>
      </c>
      <c r="AA59" s="208">
        <v>24000</v>
      </c>
    </row>
    <row r="60" spans="10:27" ht="15" customHeight="1" x14ac:dyDescent="0.25">
      <c r="J60" s="206" t="str">
        <f xml:space="preserve"> _xll.EPMOlapMemberO("[COSTCENTER].[PARENTH1].[1001]","","1001","","000")</f>
        <v>1001</v>
      </c>
      <c r="K60" s="210" t="str">
        <f xml:space="preserve"> _xll.EPMOlapMemberO("[C_ACCOUNT].[PARENTH1].[A_1460799]","","A_1460799","","000")</f>
        <v>A_1460799</v>
      </c>
      <c r="L60" s="208" t="str">
        <f>_xll.EPMMemberDesc(K60)</f>
        <v>Trade Rec-Interco-Emera Energy Svc E016 Asset Mgmt</v>
      </c>
      <c r="M60" s="208">
        <v>0</v>
      </c>
      <c r="N60" s="208">
        <v>0</v>
      </c>
      <c r="O60" s="208">
        <v>0</v>
      </c>
      <c r="P60" s="208">
        <v>3541115.77</v>
      </c>
      <c r="Q60" s="208">
        <v>3541115.77</v>
      </c>
      <c r="R60" s="208">
        <v>3541115.77</v>
      </c>
      <c r="S60" s="208">
        <v>3541115.77</v>
      </c>
      <c r="T60" s="208">
        <v>3541115.77</v>
      </c>
      <c r="U60" s="208">
        <v>3541115.77</v>
      </c>
      <c r="V60" s="208">
        <v>3541115.77</v>
      </c>
      <c r="W60" s="208">
        <v>3541115.77</v>
      </c>
      <c r="X60" s="208">
        <v>3541115.77</v>
      </c>
      <c r="Y60" s="208">
        <v>3541115.77</v>
      </c>
      <c r="Z60" s="208">
        <v>3541115.77</v>
      </c>
      <c r="AA60" s="208">
        <v>3541115.77</v>
      </c>
    </row>
    <row r="61" spans="10:27" ht="15" customHeight="1" x14ac:dyDescent="0.2">
      <c r="J61" s="202" t="str">
        <f xml:space="preserve"> _xll.EPMOlapMemberO("[COSTCENTER].[PARENTH1].[1001]","","1001","","000")</f>
        <v>1001</v>
      </c>
      <c r="K61" s="205" t="str">
        <f xml:space="preserve"> _xll.EPMOlapMemberO("[C_ACCOUNT].[PARENTH1].[INVT_AVGCST]","","INVT_AVGCST","","000")</f>
        <v>INVT_AVGCST</v>
      </c>
      <c r="L61" s="202" t="str">
        <f>_xll.EPMMemberDesc(K61)</f>
        <v>Inventories. at average cost</v>
      </c>
      <c r="M61" s="203">
        <v>0</v>
      </c>
      <c r="N61" s="203">
        <v>0</v>
      </c>
      <c r="O61" s="203">
        <v>0</v>
      </c>
      <c r="P61" s="203">
        <v>131989000</v>
      </c>
      <c r="Q61" s="203">
        <v>130504000</v>
      </c>
      <c r="R61" s="203">
        <v>130413000</v>
      </c>
      <c r="S61" s="203">
        <v>129728000</v>
      </c>
      <c r="T61" s="203">
        <v>126593000</v>
      </c>
      <c r="U61" s="203">
        <v>124516000</v>
      </c>
      <c r="V61" s="203">
        <v>124486000</v>
      </c>
      <c r="W61" s="203">
        <v>124246000</v>
      </c>
      <c r="X61" s="203">
        <v>123236000</v>
      </c>
      <c r="Y61" s="203">
        <v>123328000</v>
      </c>
      <c r="Z61" s="203">
        <v>125993000</v>
      </c>
      <c r="AA61" s="203">
        <v>127253000</v>
      </c>
    </row>
    <row r="62" spans="10:27" ht="15" customHeight="1" x14ac:dyDescent="0.2">
      <c r="J62" s="202" t="str">
        <f xml:space="preserve"> _xll.EPMOlapMemberO("[COSTCENTER].[PARENTH1].[1001]","","1001","","000")</f>
        <v>1001</v>
      </c>
      <c r="K62" s="209" t="str">
        <f xml:space="preserve"> _xll.EPMOlapMemberO("[C_ACCOUNT].[PARENTH1].[FUEL_ASSET]","","FUEL_ASSET","","000")</f>
        <v>FUEL_ASSET</v>
      </c>
      <c r="L62" s="202" t="str">
        <f>_xll.EPMMemberDesc(K62)</f>
        <v>Fuel Asset</v>
      </c>
      <c r="M62" s="203">
        <v>0</v>
      </c>
      <c r="N62" s="203">
        <v>0</v>
      </c>
      <c r="O62" s="203">
        <v>0</v>
      </c>
      <c r="P62" s="203">
        <v>25289000</v>
      </c>
      <c r="Q62" s="203">
        <v>23704000</v>
      </c>
      <c r="R62" s="203">
        <v>23513000</v>
      </c>
      <c r="S62" s="203">
        <v>22578000</v>
      </c>
      <c r="T62" s="203">
        <v>19343000</v>
      </c>
      <c r="U62" s="203">
        <v>17016000</v>
      </c>
      <c r="V62" s="203">
        <v>16886000</v>
      </c>
      <c r="W62" s="203">
        <v>16546000</v>
      </c>
      <c r="X62" s="203">
        <v>15436000</v>
      </c>
      <c r="Y62" s="203">
        <v>15428000</v>
      </c>
      <c r="Z62" s="203">
        <v>17993000</v>
      </c>
      <c r="AA62" s="203">
        <v>19153000</v>
      </c>
    </row>
    <row r="63" spans="10:27" ht="15" customHeight="1" x14ac:dyDescent="0.25">
      <c r="J63" s="206" t="str">
        <f xml:space="preserve"> _xll.EPMOlapMemberO("[COSTCENTER].[PARENTH1].[1001]","","1001","","000")</f>
        <v>1001</v>
      </c>
      <c r="K63" s="210" t="str">
        <f xml:space="preserve"> _xll.EPMOlapMemberO("[C_ACCOUNT].[PARENTH1].[A_1510020]","","A_1510020","","000")</f>
        <v>A_1510020</v>
      </c>
      <c r="L63" s="208" t="str">
        <f>_xll.EPMMemberDesc(K63)</f>
        <v>Fuel Stock - Coal</v>
      </c>
      <c r="M63" s="208">
        <v>0</v>
      </c>
      <c r="N63" s="208">
        <v>0</v>
      </c>
      <c r="O63" s="208">
        <v>0</v>
      </c>
      <c r="P63" s="208">
        <v>20025000</v>
      </c>
      <c r="Q63" s="208">
        <v>18455000</v>
      </c>
      <c r="R63" s="208">
        <v>18483000</v>
      </c>
      <c r="S63" s="208">
        <v>17757000</v>
      </c>
      <c r="T63" s="208">
        <v>14407000</v>
      </c>
      <c r="U63" s="208">
        <v>12192000</v>
      </c>
      <c r="V63" s="208">
        <v>12157000</v>
      </c>
      <c r="W63" s="208">
        <v>11909000</v>
      </c>
      <c r="X63" s="208">
        <v>10883000</v>
      </c>
      <c r="Y63" s="208">
        <v>10934000</v>
      </c>
      <c r="Z63" s="208">
        <v>13812000</v>
      </c>
      <c r="AA63" s="208">
        <v>14987000</v>
      </c>
    </row>
    <row r="64" spans="10:27" ht="15" customHeight="1" x14ac:dyDescent="0.25">
      <c r="J64" s="206" t="str">
        <f xml:space="preserve"> _xll.EPMOlapMemberO("[COSTCENTER].[PARENTH1].[1001]","","1001","","000")</f>
        <v>1001</v>
      </c>
      <c r="K64" s="210" t="str">
        <f xml:space="preserve"> _xll.EPMOlapMemberO("[C_ACCOUNT].[PARENTH1].[A_1510030]","","A_1510030","","000")</f>
        <v>A_1510030</v>
      </c>
      <c r="L64" s="208" t="str">
        <f>_xll.EPMMemberDesc(K64)</f>
        <v>Fuel Stock - #2 Oil</v>
      </c>
      <c r="M64" s="208">
        <v>0</v>
      </c>
      <c r="N64" s="208">
        <v>0</v>
      </c>
      <c r="O64" s="208">
        <v>0</v>
      </c>
      <c r="P64" s="208">
        <v>4294000</v>
      </c>
      <c r="Q64" s="208">
        <v>4294000</v>
      </c>
      <c r="R64" s="208">
        <v>4115000</v>
      </c>
      <c r="S64" s="208">
        <v>3994000</v>
      </c>
      <c r="T64" s="208">
        <v>3851000</v>
      </c>
      <c r="U64" s="208">
        <v>3729000</v>
      </c>
      <c r="V64" s="208">
        <v>3620000</v>
      </c>
      <c r="W64" s="208">
        <v>3526000</v>
      </c>
      <c r="X64" s="208">
        <v>3446000</v>
      </c>
      <c r="Y64" s="208">
        <v>3379000</v>
      </c>
      <c r="Z64" s="208">
        <v>3330000</v>
      </c>
      <c r="AA64" s="208">
        <v>3276000</v>
      </c>
    </row>
    <row r="65" spans="10:27" ht="15" customHeight="1" x14ac:dyDescent="0.25">
      <c r="J65" s="206" t="str">
        <f xml:space="preserve"> _xll.EPMOlapMemberO("[COSTCENTER].[PARENTH1].[1001]","","1001","","000")</f>
        <v>1001</v>
      </c>
      <c r="K65" s="210" t="str">
        <f xml:space="preserve"> _xll.EPMOlapMemberO("[C_ACCOUNT].[PARENTH1].[A_1510050]","","A_1510050","","000")</f>
        <v>A_1510050</v>
      </c>
      <c r="L65" s="208" t="str">
        <f>_xll.EPMMemberDesc(K65)</f>
        <v>Fuel Stock - Natural Gas</v>
      </c>
      <c r="M65" s="208">
        <v>0</v>
      </c>
      <c r="N65" s="208">
        <v>0</v>
      </c>
      <c r="O65" s="208">
        <v>0</v>
      </c>
      <c r="P65" s="208">
        <v>970000</v>
      </c>
      <c r="Q65" s="208">
        <v>955000</v>
      </c>
      <c r="R65" s="208">
        <v>915000</v>
      </c>
      <c r="S65" s="208">
        <v>827000</v>
      </c>
      <c r="T65" s="208">
        <v>1085000</v>
      </c>
      <c r="U65" s="208">
        <v>1095000</v>
      </c>
      <c r="V65" s="208">
        <v>1109000</v>
      </c>
      <c r="W65" s="208">
        <v>1111000</v>
      </c>
      <c r="X65" s="208">
        <v>1107000</v>
      </c>
      <c r="Y65" s="208">
        <v>1115000</v>
      </c>
      <c r="Z65" s="208">
        <v>851000</v>
      </c>
      <c r="AA65" s="208">
        <v>890000</v>
      </c>
    </row>
    <row r="66" spans="10:27" ht="15" customHeight="1" x14ac:dyDescent="0.2">
      <c r="J66" s="202" t="str">
        <f xml:space="preserve"> _xll.EPMOlapMemberO("[COSTCENTER].[PARENTH1].[1001]","","1001","","000")</f>
        <v>1001</v>
      </c>
      <c r="K66" s="209" t="str">
        <f xml:space="preserve"> _xll.EPMOlapMemberO("[C_ACCOUNT].[PARENTH1].[MAT_SUPPLIES]","","MAT_SUPPLIES","","000")</f>
        <v>MAT_SUPPLIES</v>
      </c>
      <c r="L66" s="202" t="str">
        <f>_xll.EPMMemberDesc(K66)</f>
        <v>Materials and Supplies</v>
      </c>
      <c r="M66" s="203">
        <v>0</v>
      </c>
      <c r="N66" s="203">
        <v>0</v>
      </c>
      <c r="O66" s="203">
        <v>0</v>
      </c>
      <c r="P66" s="203">
        <v>106700000</v>
      </c>
      <c r="Q66" s="203">
        <v>106800000</v>
      </c>
      <c r="R66" s="203">
        <v>106900000</v>
      </c>
      <c r="S66" s="203">
        <v>107150000</v>
      </c>
      <c r="T66" s="203">
        <v>107250000</v>
      </c>
      <c r="U66" s="203">
        <v>107500000</v>
      </c>
      <c r="V66" s="203">
        <v>107600000</v>
      </c>
      <c r="W66" s="203">
        <v>107700000</v>
      </c>
      <c r="X66" s="203">
        <v>107800000</v>
      </c>
      <c r="Y66" s="203">
        <v>107900000</v>
      </c>
      <c r="Z66" s="203">
        <v>108000000</v>
      </c>
      <c r="AA66" s="203">
        <v>108100000</v>
      </c>
    </row>
    <row r="67" spans="10:27" ht="15" customHeight="1" x14ac:dyDescent="0.25">
      <c r="J67" s="206" t="str">
        <f xml:space="preserve"> _xll.EPMOlapMemberO("[COSTCENTER].[PARENTH1].[1001]","","1001","","000")</f>
        <v>1001</v>
      </c>
      <c r="K67" s="210" t="str">
        <f xml:space="preserve"> _xll.EPMOlapMemberO("[C_ACCOUNT].[PARENTH1].[A_1540000]","","A_1540000","","000")</f>
        <v>A_1540000</v>
      </c>
      <c r="L67" s="208" t="str">
        <f>_xll.EPMMemberDesc(K67)</f>
        <v>Plant Materials and Operating Supplies (RECON)</v>
      </c>
      <c r="M67" s="208">
        <v>0</v>
      </c>
      <c r="N67" s="208">
        <v>0</v>
      </c>
      <c r="O67" s="208">
        <v>0</v>
      </c>
      <c r="P67" s="208">
        <v>106700000</v>
      </c>
      <c r="Q67" s="208">
        <v>106800000</v>
      </c>
      <c r="R67" s="208">
        <v>106900000</v>
      </c>
      <c r="S67" s="208">
        <v>107150000</v>
      </c>
      <c r="T67" s="208">
        <v>107250000</v>
      </c>
      <c r="U67" s="208">
        <v>107500000</v>
      </c>
      <c r="V67" s="208">
        <v>107600000</v>
      </c>
      <c r="W67" s="208">
        <v>107700000</v>
      </c>
      <c r="X67" s="208">
        <v>107800000</v>
      </c>
      <c r="Y67" s="208">
        <v>107900000</v>
      </c>
      <c r="Z67" s="208">
        <v>108000000</v>
      </c>
      <c r="AA67" s="208">
        <v>108100000</v>
      </c>
    </row>
    <row r="68" spans="10:27" ht="15" customHeight="1" x14ac:dyDescent="0.2">
      <c r="J68" s="202" t="str">
        <f xml:space="preserve"> _xll.EPMOlapMemberO("[COSTCENTER].[PARENTH1].[1001]","","1001","","000")</f>
        <v>1001</v>
      </c>
      <c r="K68" s="205" t="str">
        <f xml:space="preserve"> _xll.EPMOlapMemberO("[C_ACCOUNT].[PARENTH1].[PREPAYMENT_OTHCRNAST]","","PREPAYMENT_OTHCRNAST","","000")</f>
        <v>PREPAYMENT_OTHCRNAST</v>
      </c>
      <c r="L68" s="202" t="str">
        <f>_xll.EPMMemberDesc(K68)</f>
        <v>Prepayments and other current assets</v>
      </c>
      <c r="M68" s="203">
        <v>0</v>
      </c>
      <c r="N68" s="203">
        <v>0</v>
      </c>
      <c r="O68" s="203">
        <v>0</v>
      </c>
      <c r="P68" s="203">
        <v>8749084.0763879996</v>
      </c>
      <c r="Q68" s="203">
        <v>7047425.4689213</v>
      </c>
      <c r="R68" s="203">
        <v>19939799.9706547</v>
      </c>
      <c r="S68" s="203">
        <v>18539415.849987999</v>
      </c>
      <c r="T68" s="203">
        <v>15403806.8317213</v>
      </c>
      <c r="U68" s="203">
        <v>26971732.6770547</v>
      </c>
      <c r="V68" s="203">
        <v>25504030.446387999</v>
      </c>
      <c r="W68" s="203">
        <v>22969118.575923901</v>
      </c>
      <c r="X68" s="203">
        <v>22617267.054184198</v>
      </c>
      <c r="Y68" s="203">
        <v>21750105.522564601</v>
      </c>
      <c r="Z68" s="203">
        <v>18369768.466905002</v>
      </c>
      <c r="AA68" s="203">
        <v>16880568.917565402</v>
      </c>
    </row>
    <row r="69" spans="10:27" ht="15" customHeight="1" x14ac:dyDescent="0.2">
      <c r="J69" s="202" t="str">
        <f xml:space="preserve"> _xll.EPMOlapMemberO("[COSTCENTER].[PARENTH1].[1001]","","1001","","000")</f>
        <v>1001</v>
      </c>
      <c r="K69" s="209" t="str">
        <f xml:space="preserve"> _xll.EPMOlapMemberO("[C_ACCOUNT].[PARENTH1].[PREPAYMENT]","","PREPAYMENT","","000")</f>
        <v>PREPAYMENT</v>
      </c>
      <c r="L69" s="202" t="str">
        <f>_xll.EPMMemberDesc(K69)</f>
        <v>Prepayments</v>
      </c>
      <c r="M69" s="203">
        <v>0</v>
      </c>
      <c r="N69" s="203">
        <v>0</v>
      </c>
      <c r="O69" s="203">
        <v>0</v>
      </c>
      <c r="P69" s="203">
        <v>8749084.0763879996</v>
      </c>
      <c r="Q69" s="203">
        <v>7047425.4689213</v>
      </c>
      <c r="R69" s="203">
        <v>19939799.9706547</v>
      </c>
      <c r="S69" s="203">
        <v>18539415.849987999</v>
      </c>
      <c r="T69" s="203">
        <v>15403806.8317213</v>
      </c>
      <c r="U69" s="203">
        <v>26971732.6770547</v>
      </c>
      <c r="V69" s="203">
        <v>25504030.446387999</v>
      </c>
      <c r="W69" s="203">
        <v>22969118.575923901</v>
      </c>
      <c r="X69" s="203">
        <v>22617267.054184198</v>
      </c>
      <c r="Y69" s="203">
        <v>21750105.522564601</v>
      </c>
      <c r="Z69" s="203">
        <v>18369768.466905002</v>
      </c>
      <c r="AA69" s="203">
        <v>16880568.917565402</v>
      </c>
    </row>
    <row r="70" spans="10:27" ht="15" customHeight="1" x14ac:dyDescent="0.25">
      <c r="J70" s="206" t="str">
        <f xml:space="preserve"> _xll.EPMOlapMemberO("[COSTCENTER].[PARENTH1].[1001]","","1001","","000")</f>
        <v>1001</v>
      </c>
      <c r="K70" s="210" t="str">
        <f xml:space="preserve"> _xll.EPMOlapMemberO("[C_ACCOUNT].[PARENTH1].[A_1650050]","","A_1650050","","000")</f>
        <v>A_1650050</v>
      </c>
      <c r="L70" s="208" t="str">
        <f>_xll.EPMMemberDesc(K70)</f>
        <v>Prepaid Short-term Debt Facility Fees</v>
      </c>
      <c r="M70" s="208">
        <v>0</v>
      </c>
      <c r="N70" s="208">
        <v>0</v>
      </c>
      <c r="O70" s="208">
        <v>0</v>
      </c>
      <c r="P70" s="208">
        <v>325774.76</v>
      </c>
      <c r="Q70" s="208">
        <v>299024.62</v>
      </c>
      <c r="R70" s="208">
        <v>272274.48</v>
      </c>
      <c r="S70" s="208">
        <v>249584.94</v>
      </c>
      <c r="T70" s="208">
        <v>226895.4</v>
      </c>
      <c r="U70" s="208">
        <v>204205.86</v>
      </c>
      <c r="V70" s="208">
        <v>181516.32</v>
      </c>
      <c r="W70" s="208">
        <v>158826.78</v>
      </c>
      <c r="X70" s="208">
        <v>136137.24</v>
      </c>
      <c r="Y70" s="208">
        <v>113447.7</v>
      </c>
      <c r="Z70" s="208">
        <v>90758.16</v>
      </c>
      <c r="AA70" s="208">
        <v>68068.62</v>
      </c>
    </row>
    <row r="71" spans="10:27" ht="15" customHeight="1" x14ac:dyDescent="0.25">
      <c r="J71" s="206" t="str">
        <f xml:space="preserve"> _xll.EPMOlapMemberO("[COSTCENTER].[PARENTH1].[1001]","","1001","","000")</f>
        <v>1001</v>
      </c>
      <c r="K71" s="210" t="str">
        <f xml:space="preserve"> _xll.EPMOlapMemberO("[C_ACCOUNT].[PARENTH1].[A_1650401]","","A_1650401","","000")</f>
        <v>A_1650401</v>
      </c>
      <c r="L71" s="208" t="str">
        <f>_xll.EPMMemberDesc(K71)</f>
        <v>Prepaid LTSA - Polk Unit #1</v>
      </c>
      <c r="M71" s="208">
        <v>0</v>
      </c>
      <c r="N71" s="208">
        <v>0</v>
      </c>
      <c r="O71" s="208">
        <v>0</v>
      </c>
      <c r="P71" s="208">
        <v>1372124.169588</v>
      </c>
      <c r="Q71" s="208">
        <v>1372124.169588</v>
      </c>
      <c r="R71" s="208">
        <v>1372124.169588</v>
      </c>
      <c r="S71" s="208">
        <v>1372124.169588</v>
      </c>
      <c r="T71" s="208">
        <v>1372124.169588</v>
      </c>
      <c r="U71" s="208">
        <v>1372124.169588</v>
      </c>
      <c r="V71" s="208">
        <v>1372124.169588</v>
      </c>
      <c r="W71" s="208">
        <v>1372124.169588</v>
      </c>
      <c r="X71" s="208">
        <v>1372124.169588</v>
      </c>
      <c r="Y71" s="208">
        <v>1372124.169588</v>
      </c>
      <c r="Z71" s="208">
        <v>1372124.169588</v>
      </c>
      <c r="AA71" s="208">
        <v>1372124.169588</v>
      </c>
    </row>
    <row r="72" spans="10:27" ht="15" customHeight="1" x14ac:dyDescent="0.25">
      <c r="J72" s="206" t="str">
        <f xml:space="preserve"> _xll.EPMOlapMemberO("[COSTCENTER].[PARENTH1].[1001]","","1001","","000")</f>
        <v>1001</v>
      </c>
      <c r="K72" s="210" t="str">
        <f xml:space="preserve"> _xll.EPMOlapMemberO("[C_ACCOUNT].[PARENTH1].[A_1650402]","","A_1650402","","000")</f>
        <v>A_1650402</v>
      </c>
      <c r="L72" s="208" t="str">
        <f>_xll.EPMMemberDesc(K72)</f>
        <v>Prepaid CSA - Polk Unit #2</v>
      </c>
      <c r="M72" s="208">
        <v>0</v>
      </c>
      <c r="N72" s="208">
        <v>0</v>
      </c>
      <c r="O72" s="208">
        <v>0</v>
      </c>
      <c r="P72" s="208">
        <v>-704807.35959999997</v>
      </c>
      <c r="Q72" s="208">
        <v>-715119.50199999998</v>
      </c>
      <c r="R72" s="208">
        <v>8551.7831999999999</v>
      </c>
      <c r="S72" s="208">
        <v>181413.93119999999</v>
      </c>
      <c r="T72" s="208">
        <v>19232.216400000001</v>
      </c>
      <c r="U72" s="208">
        <v>743271.79240000003</v>
      </c>
      <c r="V72" s="208">
        <v>1066898.6403999999</v>
      </c>
      <c r="W72" s="208">
        <v>904716.92559999996</v>
      </c>
      <c r="X72" s="208">
        <v>1628756.5016000001</v>
      </c>
      <c r="Y72" s="208">
        <v>2107285.1829200001</v>
      </c>
      <c r="Z72" s="208">
        <v>1946687.1185600001</v>
      </c>
      <c r="AA72" s="208">
        <v>2670358.4037600001</v>
      </c>
    </row>
    <row r="73" spans="10:27" ht="15" customHeight="1" x14ac:dyDescent="0.25">
      <c r="J73" s="206" t="str">
        <f xml:space="preserve"> _xll.EPMOlapMemberO("[COSTCENTER].[PARENTH1].[1001]","","1001","","000")</f>
        <v>1001</v>
      </c>
      <c r="K73" s="210" t="str">
        <f xml:space="preserve"> _xll.EPMOlapMemberO("[C_ACCOUNT].[PARENTH1].[A_1650403]","","A_1650403","","000")</f>
        <v>A_1650403</v>
      </c>
      <c r="L73" s="208" t="str">
        <f>_xll.EPMMemberDesc(K73)</f>
        <v>Prepaid CSA - Polk Unit #3</v>
      </c>
      <c r="M73" s="208">
        <v>0</v>
      </c>
      <c r="N73" s="208">
        <v>0</v>
      </c>
      <c r="O73" s="208">
        <v>0</v>
      </c>
      <c r="P73" s="208">
        <v>-602956.40960000001</v>
      </c>
      <c r="Q73" s="208">
        <v>-613268.55200000003</v>
      </c>
      <c r="R73" s="208">
        <v>25243.733199999999</v>
      </c>
      <c r="S73" s="208">
        <v>198105.8812</v>
      </c>
      <c r="T73" s="208">
        <v>35924.166400000002</v>
      </c>
      <c r="U73" s="208">
        <v>674804.74239999999</v>
      </c>
      <c r="V73" s="208">
        <v>998431.59039999999</v>
      </c>
      <c r="W73" s="208">
        <v>836249.87560000003</v>
      </c>
      <c r="X73" s="208">
        <v>1475130.4516</v>
      </c>
      <c r="Y73" s="208">
        <v>1949890.2904000001</v>
      </c>
      <c r="Z73" s="208">
        <v>1792934.2128399999</v>
      </c>
      <c r="AA73" s="208">
        <v>2431446.49804</v>
      </c>
    </row>
    <row r="74" spans="10:27" ht="15" customHeight="1" x14ac:dyDescent="0.25">
      <c r="J74" s="206" t="str">
        <f xml:space="preserve"> _xll.EPMOlapMemberO("[COSTCENTER].[PARENTH1].[1001]","","1001","","000")</f>
        <v>1001</v>
      </c>
      <c r="K74" s="210" t="str">
        <f xml:space="preserve"> _xll.EPMOlapMemberO("[C_ACCOUNT].[PARENTH1].[A_1650404]","","A_1650404","","000")</f>
        <v>A_1650404</v>
      </c>
      <c r="L74" s="208" t="str">
        <f>_xll.EPMMemberDesc(K74)</f>
        <v>Prepaid CSA - Polk Unit #4</v>
      </c>
      <c r="M74" s="208">
        <v>0</v>
      </c>
      <c r="N74" s="208">
        <v>0</v>
      </c>
      <c r="O74" s="208">
        <v>0</v>
      </c>
      <c r="P74" s="208">
        <v>91791.672000000006</v>
      </c>
      <c r="Q74" s="208">
        <v>86062.703999999998</v>
      </c>
      <c r="R74" s="208">
        <v>1331.2180000000001</v>
      </c>
      <c r="S74" s="208">
        <v>164372.27799999999</v>
      </c>
      <c r="T74" s="208">
        <v>7264.7920000000004</v>
      </c>
      <c r="U74" s="208">
        <v>-77262.088000000003</v>
      </c>
      <c r="V74" s="208">
        <v>236543.67199999999</v>
      </c>
      <c r="W74" s="208">
        <v>79436.186000000002</v>
      </c>
      <c r="X74" s="208">
        <v>-5090.6940000000004</v>
      </c>
      <c r="Y74" s="208">
        <v>459684.37199999997</v>
      </c>
      <c r="Z74" s="208">
        <v>303804.522</v>
      </c>
      <c r="AA74" s="208">
        <v>219073.03599999999</v>
      </c>
    </row>
    <row r="75" spans="10:27" ht="15" customHeight="1" x14ac:dyDescent="0.25">
      <c r="J75" s="206" t="str">
        <f xml:space="preserve"> _xll.EPMOlapMemberO("[COSTCENTER].[PARENTH1].[1001]","","1001","","000")</f>
        <v>1001</v>
      </c>
      <c r="K75" s="210" t="str">
        <f xml:space="preserve"> _xll.EPMOlapMemberO("[C_ACCOUNT].[PARENTH1].[A_1650405]","","A_1650405","","000")</f>
        <v>A_1650405</v>
      </c>
      <c r="L75" s="208" t="str">
        <f>_xll.EPMMemberDesc(K75)</f>
        <v>Prepaid CSA - Polk Unit #5</v>
      </c>
      <c r="M75" s="208">
        <v>0</v>
      </c>
      <c r="N75" s="208">
        <v>0</v>
      </c>
      <c r="O75" s="208">
        <v>0</v>
      </c>
      <c r="P75" s="208">
        <v>81612.104000000007</v>
      </c>
      <c r="Q75" s="208">
        <v>75883.135999999999</v>
      </c>
      <c r="R75" s="208">
        <v>73308.649999999994</v>
      </c>
      <c r="S75" s="208">
        <v>236349.71</v>
      </c>
      <c r="T75" s="208">
        <v>79242.224000000002</v>
      </c>
      <c r="U75" s="208">
        <v>76872.343999999997</v>
      </c>
      <c r="V75" s="208">
        <v>390678.10399999999</v>
      </c>
      <c r="W75" s="208">
        <v>233570.61799999999</v>
      </c>
      <c r="X75" s="208">
        <v>231200.73800000001</v>
      </c>
      <c r="Y75" s="208">
        <v>695975.804</v>
      </c>
      <c r="Z75" s="208">
        <v>539072.924</v>
      </c>
      <c r="AA75" s="208">
        <v>537726.07400000002</v>
      </c>
    </row>
    <row r="76" spans="10:27" ht="15" customHeight="1" x14ac:dyDescent="0.25">
      <c r="J76" s="206" t="str">
        <f xml:space="preserve"> _xll.EPMOlapMemberO("[COSTCENTER].[PARENTH1].[1001]","","1001","","000")</f>
        <v>1001</v>
      </c>
      <c r="K76" s="210" t="str">
        <f xml:space="preserve"> _xll.EPMOlapMemberO("[C_ACCOUNT].[PARENTH1].[A_1650599]","","A_1650599","","000")</f>
        <v>A_1650599</v>
      </c>
      <c r="L76" s="208" t="str">
        <f>_xll.EPMMemberDesc(K76)</f>
        <v>Prepaid Insurance - Other</v>
      </c>
      <c r="M76" s="208">
        <v>0</v>
      </c>
      <c r="N76" s="208">
        <v>0</v>
      </c>
      <c r="O76" s="208">
        <v>0</v>
      </c>
      <c r="P76" s="208">
        <v>7860927.9400000004</v>
      </c>
      <c r="Q76" s="208">
        <v>5854336.8499999996</v>
      </c>
      <c r="R76" s="208">
        <v>17628497.629999999</v>
      </c>
      <c r="S76" s="208">
        <v>15263216.369999999</v>
      </c>
      <c r="T76" s="208">
        <v>12918789.029999999</v>
      </c>
      <c r="U76" s="208">
        <v>23363294.760000002</v>
      </c>
      <c r="V76" s="208">
        <v>20773330.59</v>
      </c>
      <c r="W76" s="208">
        <v>18429307.859999999</v>
      </c>
      <c r="X76" s="208">
        <v>16954922.050000001</v>
      </c>
      <c r="Y76" s="208">
        <v>14358410.970000001</v>
      </c>
      <c r="Z76" s="208">
        <v>11761899.890000001</v>
      </c>
      <c r="AA76" s="208">
        <v>9150084.2100000009</v>
      </c>
    </row>
    <row r="77" spans="10:27" ht="15" customHeight="1" x14ac:dyDescent="0.25">
      <c r="J77" s="206" t="str">
        <f xml:space="preserve"> _xll.EPMOlapMemberO("[COSTCENTER].[PARENTH1].[1001]","","1001","","000")</f>
        <v>1001</v>
      </c>
      <c r="K77" s="210" t="str">
        <f xml:space="preserve"> _xll.EPMOlapMemberO("[C_ACCOUNT].[PARENTH1].[A_1650800]","","A_1650800","","000")</f>
        <v>A_1650800</v>
      </c>
      <c r="L77" s="208" t="str">
        <f>_xll.EPMMemberDesc(K77)</f>
        <v>Prepaid Miscellaneous</v>
      </c>
      <c r="M77" s="208">
        <v>0</v>
      </c>
      <c r="N77" s="208">
        <v>0</v>
      </c>
      <c r="O77" s="208">
        <v>0</v>
      </c>
      <c r="P77" s="208">
        <v>324617.2</v>
      </c>
      <c r="Q77" s="208">
        <v>688382.04333330004</v>
      </c>
      <c r="R77" s="208">
        <v>558468.30666670005</v>
      </c>
      <c r="S77" s="208">
        <v>874248.57</v>
      </c>
      <c r="T77" s="208">
        <v>744334.83333329996</v>
      </c>
      <c r="U77" s="208">
        <v>614421.09666669997</v>
      </c>
      <c r="V77" s="208">
        <v>484507.36</v>
      </c>
      <c r="W77" s="208">
        <v>954886.16113589995</v>
      </c>
      <c r="X77" s="208">
        <v>824086.59739620006</v>
      </c>
      <c r="Y77" s="208">
        <v>693287.03365660005</v>
      </c>
      <c r="Z77" s="208">
        <v>562487.46991700004</v>
      </c>
      <c r="AA77" s="208">
        <v>431687.90617739997</v>
      </c>
    </row>
    <row r="78" spans="10:27" ht="15" customHeight="1" x14ac:dyDescent="0.2">
      <c r="J78" s="202" t="str">
        <f xml:space="preserve"> _xll.EPMOlapMemberO("[COSTCENTER].[PARENTH1].[1001]","","1001","","000")</f>
        <v>1001</v>
      </c>
      <c r="K78" s="205" t="str">
        <f xml:space="preserve"> _xll.EPMOlapMemberO("[C_ACCOUNT].[PARENTH1].[DEF_CL_EXP]","","DEF_CL_EXP","","000")</f>
        <v>DEF_CL_EXP</v>
      </c>
      <c r="L78" s="202" t="str">
        <f>_xll.EPMMemberDesc(K78)</f>
        <v>Deferred clause expense - current</v>
      </c>
      <c r="M78" s="203">
        <v>0</v>
      </c>
      <c r="N78" s="203">
        <v>0</v>
      </c>
      <c r="O78" s="203">
        <v>0</v>
      </c>
      <c r="P78" s="203">
        <v>26179797.893038601</v>
      </c>
      <c r="Q78" s="203">
        <v>27226114.953284699</v>
      </c>
      <c r="R78" s="203">
        <v>29644292.134332102</v>
      </c>
      <c r="S78" s="203">
        <v>27964051.265258402</v>
      </c>
      <c r="T78" s="203">
        <v>28293744.5768978</v>
      </c>
      <c r="U78" s="203">
        <v>23200130.0351476</v>
      </c>
      <c r="V78" s="203">
        <v>16864245.067832202</v>
      </c>
      <c r="W78" s="203">
        <v>11891221.4642995</v>
      </c>
      <c r="X78" s="203">
        <v>3081642.5122826998</v>
      </c>
      <c r="Y78" s="203">
        <v>1981833.7564268999</v>
      </c>
      <c r="Z78" s="203">
        <v>1861735.4982127999</v>
      </c>
      <c r="AA78" s="203">
        <v>1959046.3360096</v>
      </c>
    </row>
    <row r="79" spans="10:27" ht="15" customHeight="1" x14ac:dyDescent="0.25">
      <c r="J79" s="206" t="str">
        <f xml:space="preserve"> _xll.EPMOlapMemberO("[COSTCENTER].[PARENTH1].[1001]","","1001","","000")</f>
        <v>1001</v>
      </c>
      <c r="K79" s="207" t="str">
        <f xml:space="preserve"> _xll.EPMOlapMemberO("[C_ACCOUNT].[PARENTH1].[A_1823020]","","A_1823020","","000")</f>
        <v>A_1823020</v>
      </c>
      <c r="L79" s="208" t="str">
        <f>_xll.EPMMemberDesc(K79)</f>
        <v>Oth Reg Asset-Fuel Clause</v>
      </c>
      <c r="M79" s="208">
        <v>0</v>
      </c>
      <c r="N79" s="208">
        <v>0</v>
      </c>
      <c r="O79" s="208">
        <v>0</v>
      </c>
      <c r="P79" s="208">
        <v>15484522.986080101</v>
      </c>
      <c r="Q79" s="208">
        <v>15124970.8233667</v>
      </c>
      <c r="R79" s="208">
        <v>17370299.155345399</v>
      </c>
      <c r="S79" s="208">
        <v>15565366.111117801</v>
      </c>
      <c r="T79" s="208">
        <v>16480742.788254101</v>
      </c>
      <c r="U79" s="208">
        <v>13280277.0902164</v>
      </c>
      <c r="V79" s="208">
        <v>9164804.1244198997</v>
      </c>
      <c r="W79" s="208">
        <v>6377139.9209192004</v>
      </c>
      <c r="X79" s="208">
        <v>0</v>
      </c>
      <c r="Y79" s="208">
        <v>0</v>
      </c>
      <c r="Z79" s="208">
        <v>0</v>
      </c>
      <c r="AA79" s="208">
        <v>0</v>
      </c>
    </row>
    <row r="80" spans="10:27" ht="15" customHeight="1" x14ac:dyDescent="0.25">
      <c r="J80" s="206" t="str">
        <f xml:space="preserve"> _xll.EPMOlapMemberO("[COSTCENTER].[PARENTH1].[1001]","","1001","","000")</f>
        <v>1001</v>
      </c>
      <c r="K80" s="207" t="str">
        <f xml:space="preserve"> _xll.EPMOlapMemberO("[C_ACCOUNT].[PARENTH1].[A_1823030]","","A_1823030","","000")</f>
        <v>A_1823030</v>
      </c>
      <c r="L80" s="208" t="str">
        <f>_xll.EPMMemberDesc(K80)</f>
        <v>Oth Reg Asset-Capacity Clause</v>
      </c>
      <c r="M80" s="208">
        <v>0</v>
      </c>
      <c r="N80" s="208">
        <v>0</v>
      </c>
      <c r="O80" s="208">
        <v>0</v>
      </c>
      <c r="P80" s="208">
        <v>1278041.9069584999</v>
      </c>
      <c r="Q80" s="208">
        <v>2655343.1299180002</v>
      </c>
      <c r="R80" s="208">
        <v>2559851.9789867001</v>
      </c>
      <c r="S80" s="208">
        <v>2463225.1541406</v>
      </c>
      <c r="T80" s="208">
        <v>2363622.7886437001</v>
      </c>
      <c r="U80" s="208">
        <v>2259235.9449311998</v>
      </c>
      <c r="V80" s="208">
        <v>2153450.9434123002</v>
      </c>
      <c r="W80" s="208">
        <v>2047796.5433803</v>
      </c>
      <c r="X80" s="208">
        <v>1940623.5122827</v>
      </c>
      <c r="Y80" s="208">
        <v>1836589.7564268999</v>
      </c>
      <c r="Z80" s="208">
        <v>1737874.4982127999</v>
      </c>
      <c r="AA80" s="208">
        <v>1640562.3360096</v>
      </c>
    </row>
    <row r="81" spans="10:27" ht="15" customHeight="1" x14ac:dyDescent="0.25">
      <c r="J81" s="206" t="str">
        <f xml:space="preserve"> _xll.EPMOlapMemberO("[COSTCENTER].[PARENTH1].[1001]","","1001","","000")</f>
        <v>1001</v>
      </c>
      <c r="K81" s="207" t="str">
        <f xml:space="preserve"> _xll.EPMOlapMemberO("[C_ACCOUNT].[PARENTH1].[A_1823050]","","A_1823050","","000")</f>
        <v>A_1823050</v>
      </c>
      <c r="L81" s="208" t="str">
        <f>_xll.EPMMemberDesc(K81)</f>
        <v>Oth Reg Asset-Environmental Clause</v>
      </c>
      <c r="M81" s="208">
        <v>0</v>
      </c>
      <c r="N81" s="208">
        <v>0</v>
      </c>
      <c r="O81" s="208">
        <v>0</v>
      </c>
      <c r="P81" s="208">
        <v>3828084</v>
      </c>
      <c r="Q81" s="208">
        <v>4202948</v>
      </c>
      <c r="R81" s="208">
        <v>4670767</v>
      </c>
      <c r="S81" s="208">
        <v>4892301</v>
      </c>
      <c r="T81" s="208">
        <v>4725286</v>
      </c>
      <c r="U81" s="208">
        <v>3832638</v>
      </c>
      <c r="V81" s="208">
        <v>2723430</v>
      </c>
      <c r="W81" s="208">
        <v>1652297</v>
      </c>
      <c r="X81" s="208">
        <v>354329</v>
      </c>
      <c r="Y81" s="208">
        <v>0</v>
      </c>
      <c r="Z81" s="208">
        <v>0</v>
      </c>
      <c r="AA81" s="208">
        <v>0</v>
      </c>
    </row>
    <row r="82" spans="10:27" ht="15" customHeight="1" x14ac:dyDescent="0.25">
      <c r="J82" s="206" t="str">
        <f xml:space="preserve"> _xll.EPMOlapMemberO("[COSTCENTER].[PARENTH1].[1001]","","1001","","000")</f>
        <v>1001</v>
      </c>
      <c r="K82" s="207" t="str">
        <f xml:space="preserve"> _xll.EPMOlapMemberO("[C_ACCOUNT].[PARENTH1].[A_1823090]","","A_1823090","","000")</f>
        <v>A_1823090</v>
      </c>
      <c r="L82" s="208" t="str">
        <f>_xll.EPMMemberDesc(K82)</f>
        <v>Oth Reg Asset-Storm Protection Clause</v>
      </c>
      <c r="M82" s="208">
        <v>0</v>
      </c>
      <c r="N82" s="208">
        <v>0</v>
      </c>
      <c r="O82" s="208">
        <v>0</v>
      </c>
      <c r="P82" s="208">
        <v>5589149</v>
      </c>
      <c r="Q82" s="208">
        <v>5242853</v>
      </c>
      <c r="R82" s="208">
        <v>5043374</v>
      </c>
      <c r="S82" s="208">
        <v>5043159</v>
      </c>
      <c r="T82" s="208">
        <v>4724093</v>
      </c>
      <c r="U82" s="208">
        <v>3827979</v>
      </c>
      <c r="V82" s="208">
        <v>2822560</v>
      </c>
      <c r="W82" s="208">
        <v>1813988</v>
      </c>
      <c r="X82" s="208">
        <v>786690</v>
      </c>
      <c r="Y82" s="208">
        <v>145244</v>
      </c>
      <c r="Z82" s="208">
        <v>123861</v>
      </c>
      <c r="AA82" s="208">
        <v>318484</v>
      </c>
    </row>
    <row r="83" spans="10:27" ht="15" customHeight="1" x14ac:dyDescent="0.2">
      <c r="J83" s="202" t="str">
        <f xml:space="preserve"> _xll.EPMOlapMemberO("[COSTCENTER].[PARENTH1].[1001]","","1001","","000")</f>
        <v>1001</v>
      </c>
      <c r="K83" s="205" t="str">
        <f xml:space="preserve"> _xll.EPMOlapMemberO("[C_ACCOUNT].[PARENTH1].[OTH_REG_AST_C]","","OTH_REG_AST_C","","000")</f>
        <v>OTH_REG_AST_C</v>
      </c>
      <c r="L83" s="202" t="str">
        <f>_xll.EPMMemberDesc(K83)</f>
        <v>Other regulatory assets - current</v>
      </c>
      <c r="M83" s="203">
        <v>0</v>
      </c>
      <c r="N83" s="203">
        <v>0</v>
      </c>
      <c r="O83" s="203">
        <v>0</v>
      </c>
      <c r="P83" s="203">
        <v>12500355.199999999</v>
      </c>
      <c r="Q83" s="203">
        <v>12398218.539999999</v>
      </c>
      <c r="R83" s="203">
        <v>12296081.880000001</v>
      </c>
      <c r="S83" s="203">
        <v>12193945.220000001</v>
      </c>
      <c r="T83" s="203">
        <v>12072187.300000001</v>
      </c>
      <c r="U83" s="203">
        <v>11950429.380000001</v>
      </c>
      <c r="V83" s="203">
        <v>11828671.460000001</v>
      </c>
      <c r="W83" s="203">
        <v>11710648.199999999</v>
      </c>
      <c r="X83" s="203">
        <v>11592624.939999999</v>
      </c>
      <c r="Y83" s="203">
        <v>11474601.68</v>
      </c>
      <c r="Z83" s="203">
        <v>11338924.09</v>
      </c>
      <c r="AA83" s="203">
        <v>11203250.5</v>
      </c>
    </row>
    <row r="84" spans="10:27" ht="15" customHeight="1" x14ac:dyDescent="0.25">
      <c r="J84" s="206" t="str">
        <f xml:space="preserve"> _xll.EPMOlapMemberO("[COSTCENTER].[PARENTH1].[1001]","","1001","","000")</f>
        <v>1001</v>
      </c>
      <c r="K84" s="207" t="str">
        <f xml:space="preserve"> _xll.EPMOlapMemberO("[C_ACCOUNT].[PARENTH1].[A_1823100]","","A_1823100","","000")</f>
        <v>A_1823100</v>
      </c>
      <c r="L84" s="208" t="str">
        <f>_xll.EPMMemberDesc(K84)</f>
        <v>Oth Reg Asset-FAS 158 Benefit Current</v>
      </c>
      <c r="M84" s="208">
        <v>0</v>
      </c>
      <c r="N84" s="208">
        <v>0</v>
      </c>
      <c r="O84" s="208">
        <v>0</v>
      </c>
      <c r="P84" s="208">
        <v>10106659</v>
      </c>
      <c r="Q84" s="208">
        <v>10106659</v>
      </c>
      <c r="R84" s="208">
        <v>10106659</v>
      </c>
      <c r="S84" s="208">
        <v>10106659</v>
      </c>
      <c r="T84" s="208">
        <v>10106659</v>
      </c>
      <c r="U84" s="208">
        <v>10106659</v>
      </c>
      <c r="V84" s="208">
        <v>10106659</v>
      </c>
      <c r="W84" s="208">
        <v>10106659</v>
      </c>
      <c r="X84" s="208">
        <v>10106659</v>
      </c>
      <c r="Y84" s="208">
        <v>10106659</v>
      </c>
      <c r="Z84" s="208">
        <v>10106659</v>
      </c>
      <c r="AA84" s="208">
        <v>10106659</v>
      </c>
    </row>
    <row r="85" spans="10:27" ht="15" customHeight="1" x14ac:dyDescent="0.25">
      <c r="J85" s="206" t="str">
        <f xml:space="preserve"> _xll.EPMOlapMemberO("[COSTCENTER].[PARENTH1].[1001]","","1001","","000")</f>
        <v>1001</v>
      </c>
      <c r="K85" s="207" t="str">
        <f xml:space="preserve"> _xll.EPMOlapMemberO("[C_ACCOUNT].[PARENTH1].[A_1823104]","","A_1823104","","000")</f>
        <v>A_1823104</v>
      </c>
      <c r="L85" s="208" t="str">
        <f>_xll.EPMMemberDesc(K85)</f>
        <v>Oth Reg Asset-ARO Asset Current</v>
      </c>
      <c r="M85" s="208">
        <v>0</v>
      </c>
      <c r="N85" s="208">
        <v>0</v>
      </c>
      <c r="O85" s="208">
        <v>0</v>
      </c>
      <c r="P85" s="208">
        <v>500000</v>
      </c>
      <c r="Q85" s="208">
        <v>500000</v>
      </c>
      <c r="R85" s="208">
        <v>500000</v>
      </c>
      <c r="S85" s="208">
        <v>500000</v>
      </c>
      <c r="T85" s="208">
        <v>500000</v>
      </c>
      <c r="U85" s="208">
        <v>500000</v>
      </c>
      <c r="V85" s="208">
        <v>500000</v>
      </c>
      <c r="W85" s="208">
        <v>500000</v>
      </c>
      <c r="X85" s="208">
        <v>500000</v>
      </c>
      <c r="Y85" s="208">
        <v>500000</v>
      </c>
      <c r="Z85" s="208">
        <v>500000</v>
      </c>
      <c r="AA85" s="208">
        <v>500000</v>
      </c>
    </row>
    <row r="86" spans="10:27" ht="15" customHeight="1" x14ac:dyDescent="0.25">
      <c r="J86" s="206" t="str">
        <f xml:space="preserve"> _xll.EPMOlapMemberO("[COSTCENTER].[PARENTH1].[1001]","","1001","","000")</f>
        <v>1001</v>
      </c>
      <c r="K86" s="207" t="str">
        <f xml:space="preserve"> _xll.EPMOlapMemberO("[C_ACCOUNT].[PARENTH1].[A_1890100]","","A_1890100","","000")</f>
        <v>A_1890100</v>
      </c>
      <c r="L86" s="208" t="str">
        <f>_xll.EPMMemberDesc(K86)</f>
        <v>Unamortized Loss on Reacquired Debt - Short-term</v>
      </c>
      <c r="M86" s="208">
        <v>0</v>
      </c>
      <c r="N86" s="208">
        <v>0</v>
      </c>
      <c r="O86" s="208">
        <v>0</v>
      </c>
      <c r="P86" s="208">
        <v>811278.2</v>
      </c>
      <c r="Q86" s="208">
        <v>807543.54</v>
      </c>
      <c r="R86" s="208">
        <v>803808.88</v>
      </c>
      <c r="S86" s="208">
        <v>800074.22</v>
      </c>
      <c r="T86" s="208">
        <v>776718.3</v>
      </c>
      <c r="U86" s="208">
        <v>753362.38</v>
      </c>
      <c r="V86" s="208">
        <v>730006.46</v>
      </c>
      <c r="W86" s="208">
        <v>710385.2</v>
      </c>
      <c r="X86" s="208">
        <v>690763.94</v>
      </c>
      <c r="Y86" s="208">
        <v>671142.68</v>
      </c>
      <c r="Z86" s="208">
        <v>633867.09</v>
      </c>
      <c r="AA86" s="208">
        <v>596591.5</v>
      </c>
    </row>
    <row r="87" spans="10:27" ht="15" customHeight="1" x14ac:dyDescent="0.25">
      <c r="J87" s="206" t="str">
        <f xml:space="preserve"> _xll.EPMOlapMemberO("[COSTCENTER].[PARENTH1].[1001]","","1001","","000")</f>
        <v>1001</v>
      </c>
      <c r="K87" s="207" t="str">
        <f xml:space="preserve"> _xll.EPMOlapMemberO("[C_ACCOUNT].[PARENTH1].[A_1823106]","","A_1823106","","000")</f>
        <v>A_1823106</v>
      </c>
      <c r="L87" s="208" t="str">
        <f>_xll.EPMMemberDesc(K87)</f>
        <v>Oth Reg Asset-Asset Optimization Gain Current</v>
      </c>
      <c r="M87" s="208">
        <v>0</v>
      </c>
      <c r="N87" s="208">
        <v>0</v>
      </c>
      <c r="O87" s="208">
        <v>0</v>
      </c>
      <c r="P87" s="208">
        <v>1082418</v>
      </c>
      <c r="Q87" s="208">
        <v>984016</v>
      </c>
      <c r="R87" s="208">
        <v>885614</v>
      </c>
      <c r="S87" s="208">
        <v>787212</v>
      </c>
      <c r="T87" s="208">
        <v>688810</v>
      </c>
      <c r="U87" s="208">
        <v>590408</v>
      </c>
      <c r="V87" s="208">
        <v>492006</v>
      </c>
      <c r="W87" s="208">
        <v>393604</v>
      </c>
      <c r="X87" s="208">
        <v>295202</v>
      </c>
      <c r="Y87" s="208">
        <v>196800</v>
      </c>
      <c r="Z87" s="208">
        <v>98398</v>
      </c>
      <c r="AA87" s="208">
        <v>0</v>
      </c>
    </row>
    <row r="88" spans="10:27" ht="15" customHeight="1" x14ac:dyDescent="0.2">
      <c r="J88" s="202" t="str">
        <f xml:space="preserve"> _xll.EPMOlapMemberO("[COSTCENTER].[PARENTH1].[1001]","","1001","","000")</f>
        <v>1001</v>
      </c>
      <c r="K88" s="204" t="str">
        <f xml:space="preserve"> _xll.EPMOlapMemberO("[C_ACCOUNT].[PARENTH1].[PROP_PLNT_EQUIP_PAR]","","PROP_PLNT_EQUIP_PAR","","000")</f>
        <v>PROP_PLNT_EQUIP_PAR</v>
      </c>
      <c r="L88" s="202" t="str">
        <f>_xll.EPMMemberDesc(K88)</f>
        <v>PROPERTY. PLANT AND EQUIPMENT</v>
      </c>
      <c r="M88" s="203">
        <v>0</v>
      </c>
      <c r="N88" s="203">
        <v>0</v>
      </c>
      <c r="O88" s="203">
        <v>0</v>
      </c>
      <c r="P88" s="203">
        <v>8466308459.0123634</v>
      </c>
      <c r="Q88" s="203">
        <v>8510311099.993475</v>
      </c>
      <c r="R88" s="203">
        <v>8572582438.1536732</v>
      </c>
      <c r="S88" s="203">
        <v>8624470254.8148823</v>
      </c>
      <c r="T88" s="203">
        <v>8682804780.3792248</v>
      </c>
      <c r="U88" s="203">
        <v>8807354682.3701191</v>
      </c>
      <c r="V88" s="203">
        <v>8855374641.3395634</v>
      </c>
      <c r="W88" s="203">
        <v>8906186766.3987789</v>
      </c>
      <c r="X88" s="203">
        <v>8962493684.5459213</v>
      </c>
      <c r="Y88" s="203">
        <v>9012929987.544117</v>
      </c>
      <c r="Z88" s="203">
        <v>9076978710.2814083</v>
      </c>
      <c r="AA88" s="203">
        <v>9130592352.484005</v>
      </c>
    </row>
    <row r="89" spans="10:27" ht="15" customHeight="1" x14ac:dyDescent="0.2">
      <c r="J89" s="202" t="str">
        <f xml:space="preserve"> _xll.EPMOlapMemberO("[COSTCENTER].[PARENTH1].[1001]","","1001","","000")</f>
        <v>1001</v>
      </c>
      <c r="K89" s="205" t="str">
        <f xml:space="preserve"> _xll.EPMOlapMemberO("[C_ACCOUNT].[PARENTH1].[PROP_PLNT_EQUIP_CHLD]","","PROP_PLNT_EQUIP_CHLD","","000")</f>
        <v>PROP_PLNT_EQUIP_CHLD</v>
      </c>
      <c r="L89" s="202" t="str">
        <f>_xll.EPMMemberDesc(K89)</f>
        <v>Property. Plant and Equipment</v>
      </c>
      <c r="M89" s="203">
        <v>0</v>
      </c>
      <c r="N89" s="203">
        <v>0</v>
      </c>
      <c r="O89" s="203">
        <v>0</v>
      </c>
      <c r="P89" s="203">
        <v>11547893464.33036</v>
      </c>
      <c r="Q89" s="203">
        <v>11613477632.235889</v>
      </c>
      <c r="R89" s="203">
        <v>11692143532.64538</v>
      </c>
      <c r="S89" s="203">
        <v>11762312668.3062</v>
      </c>
      <c r="T89" s="203">
        <v>11841170894.952999</v>
      </c>
      <c r="U89" s="203">
        <v>11976920775.451599</v>
      </c>
      <c r="V89" s="203">
        <v>12047341021.2764</v>
      </c>
      <c r="W89" s="203">
        <v>12118381225.9093</v>
      </c>
      <c r="X89" s="203">
        <v>12195360415.746099</v>
      </c>
      <c r="Y89" s="203">
        <v>12265136712.5765</v>
      </c>
      <c r="Z89" s="203">
        <v>12279863207.1304</v>
      </c>
      <c r="AA89" s="203">
        <v>11798608603.556639</v>
      </c>
    </row>
    <row r="90" spans="10:27" ht="15" customHeight="1" x14ac:dyDescent="0.2">
      <c r="J90" s="202" t="str">
        <f xml:space="preserve"> _xll.EPMOlapMemberO("[COSTCENTER].[PARENTH1].[1001]","","1001","","000")</f>
        <v>1001</v>
      </c>
      <c r="K90" s="209" t="str">
        <f xml:space="preserve"> _xll.EPMOlapMemberO("[C_ACCOUNT].[PARENTH1].[UTL_PLANT_INSERV]","","UTL_PLANT_INSERV","","000")</f>
        <v>UTL_PLANT_INSERV</v>
      </c>
      <c r="L90" s="202" t="str">
        <f>_xll.EPMMemberDesc(K90)</f>
        <v>Utility Plant in Service</v>
      </c>
      <c r="M90" s="203">
        <v>0</v>
      </c>
      <c r="N90" s="203">
        <v>0</v>
      </c>
      <c r="O90" s="203">
        <v>0</v>
      </c>
      <c r="P90" s="203">
        <v>10358263513.010361</v>
      </c>
      <c r="Q90" s="203">
        <v>10377144514.235889</v>
      </c>
      <c r="R90" s="203">
        <v>10415619955.12538</v>
      </c>
      <c r="S90" s="203">
        <v>10447095728.946199</v>
      </c>
      <c r="T90" s="203">
        <v>10466624824.122999</v>
      </c>
      <c r="U90" s="203">
        <v>10525781733.461599</v>
      </c>
      <c r="V90" s="203">
        <v>10546166399.2864</v>
      </c>
      <c r="W90" s="203">
        <v>10578357952.629299</v>
      </c>
      <c r="X90" s="203">
        <v>10604568206.276098</v>
      </c>
      <c r="Y90" s="203">
        <v>10653484672.426498</v>
      </c>
      <c r="Z90" s="203">
        <v>11159662056.280399</v>
      </c>
      <c r="AA90" s="203">
        <v>10943090772.01664</v>
      </c>
    </row>
    <row r="91" spans="10:27" ht="15" customHeight="1" x14ac:dyDescent="0.25">
      <c r="J91" s="206" t="str">
        <f xml:space="preserve"> _xll.EPMOlapMemberO("[COSTCENTER].[PARENTH1].[1001]","","1001","","000")</f>
        <v>1001</v>
      </c>
      <c r="K91" s="210" t="str">
        <f xml:space="preserve"> _xll.EPMOlapMemberO("[C_ACCOUNT].[PARENTH1].[A_1010000]","","A_1010000","","000")</f>
        <v>A_1010000</v>
      </c>
      <c r="L91" s="208" t="str">
        <f>_xll.EPMMemberDesc(K91)</f>
        <v>Utility Plant in Service</v>
      </c>
      <c r="M91" s="208">
        <v>0</v>
      </c>
      <c r="N91" s="208">
        <v>0</v>
      </c>
      <c r="O91" s="208">
        <v>0</v>
      </c>
      <c r="P91" s="208">
        <v>9913107693.73036</v>
      </c>
      <c r="Q91" s="208">
        <v>9911069168.0058899</v>
      </c>
      <c r="R91" s="208">
        <v>9931130772.1953793</v>
      </c>
      <c r="S91" s="208">
        <v>10013913650.6362</v>
      </c>
      <c r="T91" s="208">
        <v>10049176660.443001</v>
      </c>
      <c r="U91" s="208">
        <v>10101169543.691601</v>
      </c>
      <c r="V91" s="208">
        <v>10259731065.8964</v>
      </c>
      <c r="W91" s="208">
        <v>10260809061.959299</v>
      </c>
      <c r="X91" s="208">
        <v>10280571590.146099</v>
      </c>
      <c r="Y91" s="208">
        <v>10347470522.7465</v>
      </c>
      <c r="Z91" s="208">
        <v>10276355035.3904</v>
      </c>
      <c r="AA91" s="208">
        <v>9765650295.4766407</v>
      </c>
    </row>
    <row r="92" spans="10:27" ht="15" customHeight="1" x14ac:dyDescent="0.25">
      <c r="J92" s="206" t="str">
        <f xml:space="preserve"> _xll.EPMOlapMemberO("[COSTCENTER].[PARENTH1].[1001]","","1001","","000")</f>
        <v>1001</v>
      </c>
      <c r="K92" s="210" t="str">
        <f xml:space="preserve"> _xll.EPMOlapMemberO("[C_ACCOUNT].[PARENTH1].[A_1060000]","","A_1060000","","000")</f>
        <v>A_1060000</v>
      </c>
      <c r="L92" s="208" t="str">
        <f>_xll.EPMMemberDesc(K92)</f>
        <v>Completed Construction not Classified</v>
      </c>
      <c r="M92" s="208">
        <v>0</v>
      </c>
      <c r="N92" s="208">
        <v>0</v>
      </c>
      <c r="O92" s="208">
        <v>0</v>
      </c>
      <c r="P92" s="208">
        <v>437670996.51999998</v>
      </c>
      <c r="Q92" s="208">
        <v>458590523.47000003</v>
      </c>
      <c r="R92" s="208">
        <v>477004360.17000002</v>
      </c>
      <c r="S92" s="208">
        <v>425697255.55000001</v>
      </c>
      <c r="T92" s="208">
        <v>409963340.92000002</v>
      </c>
      <c r="U92" s="208">
        <v>417127367.00999999</v>
      </c>
      <c r="V92" s="208">
        <v>278950510.63</v>
      </c>
      <c r="W92" s="208">
        <v>310064067.91000003</v>
      </c>
      <c r="X92" s="208">
        <v>316511793.37</v>
      </c>
      <c r="Y92" s="208">
        <v>298529326.92000002</v>
      </c>
      <c r="Z92" s="208">
        <v>875822198.13</v>
      </c>
      <c r="AA92" s="208">
        <v>1169955653.78</v>
      </c>
    </row>
    <row r="93" spans="10:27" ht="15" customHeight="1" x14ac:dyDescent="0.25">
      <c r="J93" s="206" t="str">
        <f xml:space="preserve"> _xll.EPMOlapMemberO("[COSTCENTER].[PARENTH1].[1001]","","1001","","000")</f>
        <v>1001</v>
      </c>
      <c r="K93" s="210" t="str">
        <f xml:space="preserve"> _xll.EPMOlapMemberO("[C_ACCOUNT].[PARENTH1].[A_1140000]","","A_1140000","","000")</f>
        <v>A_1140000</v>
      </c>
      <c r="L93" s="208" t="str">
        <f>_xll.EPMMemberDesc(K93)</f>
        <v>Plant Acquisition Adjustments</v>
      </c>
      <c r="M93" s="208">
        <v>0</v>
      </c>
      <c r="N93" s="208">
        <v>0</v>
      </c>
      <c r="O93" s="208">
        <v>0</v>
      </c>
      <c r="P93" s="208">
        <v>7484822.7599999998</v>
      </c>
      <c r="Q93" s="208">
        <v>7484822.7599999998</v>
      </c>
      <c r="R93" s="208">
        <v>7484822.7599999998</v>
      </c>
      <c r="S93" s="208">
        <v>7484822.7599999998</v>
      </c>
      <c r="T93" s="208">
        <v>7484822.7599999998</v>
      </c>
      <c r="U93" s="208">
        <v>7484822.7599999998</v>
      </c>
      <c r="V93" s="208">
        <v>7484822.7599999998</v>
      </c>
      <c r="W93" s="208">
        <v>7484822.7599999998</v>
      </c>
      <c r="X93" s="208">
        <v>7484822.7599999998</v>
      </c>
      <c r="Y93" s="208">
        <v>7484822.7599999998</v>
      </c>
      <c r="Z93" s="208">
        <v>7484822.7599999998</v>
      </c>
      <c r="AA93" s="208">
        <v>7484822.7599999998</v>
      </c>
    </row>
    <row r="94" spans="10:27" ht="15" customHeight="1" x14ac:dyDescent="0.2">
      <c r="J94" s="202" t="str">
        <f xml:space="preserve"> _xll.EPMOlapMemberO("[COSTCENTER].[PARENTH1].[1001]","","1001","","000")</f>
        <v>1001</v>
      </c>
      <c r="K94" s="209" t="str">
        <f xml:space="preserve"> _xll.EPMOlapMemberO("[C_ACCOUNT].[PARENTH1].[CONSTRUCTION_WIP]","","CONSTRUCTION_WIP","","000")</f>
        <v>CONSTRUCTION_WIP</v>
      </c>
      <c r="L94" s="202" t="str">
        <f>_xll.EPMMemberDesc(K94)</f>
        <v>Construction work in progress</v>
      </c>
      <c r="M94" s="203">
        <v>0</v>
      </c>
      <c r="N94" s="203">
        <v>0</v>
      </c>
      <c r="O94" s="203">
        <v>0</v>
      </c>
      <c r="P94" s="203">
        <v>1175627800.01</v>
      </c>
      <c r="Q94" s="203">
        <v>1222222343.53</v>
      </c>
      <c r="R94" s="203">
        <v>1262304179.8900001</v>
      </c>
      <c r="S94" s="203">
        <v>1300888918.5699999</v>
      </c>
      <c r="T94" s="203">
        <v>1360109426.8800001</v>
      </c>
      <c r="U94" s="203">
        <v>1436593774.8800001</v>
      </c>
      <c r="V94" s="203">
        <v>1486520731.72</v>
      </c>
      <c r="W94" s="203">
        <v>1525260759.8499999</v>
      </c>
      <c r="X94" s="203">
        <v>1575921072.8800001</v>
      </c>
      <c r="Y94" s="203">
        <v>1596672280.4000001</v>
      </c>
      <c r="Z94" s="203">
        <v>1105112767.9400001</v>
      </c>
      <c r="AA94" s="203">
        <v>840320825.419999</v>
      </c>
    </row>
    <row r="95" spans="10:27" ht="15" customHeight="1" x14ac:dyDescent="0.25">
      <c r="J95" s="206" t="str">
        <f xml:space="preserve"> _xll.EPMOlapMemberO("[COSTCENTER].[PARENTH1].[1001]","","1001","","000")</f>
        <v>1001</v>
      </c>
      <c r="K95" s="210" t="str">
        <f xml:space="preserve"> _xll.EPMOlapMemberO("[C_ACCOUNT].[PARENTH1].[A_1050000]","","A_1050000","","000")</f>
        <v>A_1050000</v>
      </c>
      <c r="L95" s="208" t="str">
        <f>_xll.EPMMemberDesc(K95)</f>
        <v>Plant Held for Future Use</v>
      </c>
      <c r="M95" s="208">
        <v>0</v>
      </c>
      <c r="N95" s="208">
        <v>0</v>
      </c>
      <c r="O95" s="208">
        <v>0</v>
      </c>
      <c r="P95" s="208">
        <v>54665937.289999999</v>
      </c>
      <c r="Q95" s="208">
        <v>54665937.289999999</v>
      </c>
      <c r="R95" s="208">
        <v>54665937.289999999</v>
      </c>
      <c r="S95" s="208">
        <v>54665937.289999999</v>
      </c>
      <c r="T95" s="208">
        <v>54665937.289999999</v>
      </c>
      <c r="U95" s="208">
        <v>54666446.340000004</v>
      </c>
      <c r="V95" s="208">
        <v>54666446.340000004</v>
      </c>
      <c r="W95" s="208">
        <v>54666446.340000004</v>
      </c>
      <c r="X95" s="208">
        <v>55166446.340000004</v>
      </c>
      <c r="Y95" s="208">
        <v>55166446.340000004</v>
      </c>
      <c r="Z95" s="208">
        <v>55166446.340000004</v>
      </c>
      <c r="AA95" s="208">
        <v>55166446.340000004</v>
      </c>
    </row>
    <row r="96" spans="10:27" ht="15" customHeight="1" x14ac:dyDescent="0.25">
      <c r="J96" s="206" t="str">
        <f xml:space="preserve"> _xll.EPMOlapMemberO("[COSTCENTER].[PARENTH1].[1001]","","1001","","000")</f>
        <v>1001</v>
      </c>
      <c r="K96" s="210" t="str">
        <f xml:space="preserve"> _xll.EPMOlapMemberO("[C_ACCOUNT].[PARENTH1].[A_1070000]","","A_1070000","","000")</f>
        <v>A_1070000</v>
      </c>
      <c r="L96" s="208" t="str">
        <f>_xll.EPMMemberDesc(K96)</f>
        <v>Construction Work in Progress</v>
      </c>
      <c r="M96" s="208">
        <v>0</v>
      </c>
      <c r="N96" s="208">
        <v>0</v>
      </c>
      <c r="O96" s="208">
        <v>0</v>
      </c>
      <c r="P96" s="208">
        <v>1120961862.72</v>
      </c>
      <c r="Q96" s="208">
        <v>1167556406.24</v>
      </c>
      <c r="R96" s="208">
        <v>1207638242.5999999</v>
      </c>
      <c r="S96" s="208">
        <v>1246222981.28</v>
      </c>
      <c r="T96" s="208">
        <v>1305443489.5899999</v>
      </c>
      <c r="U96" s="208">
        <v>1381927328.54</v>
      </c>
      <c r="V96" s="208">
        <v>1431854285.3800001</v>
      </c>
      <c r="W96" s="208">
        <v>1470594313.51</v>
      </c>
      <c r="X96" s="208">
        <v>1520754626.54</v>
      </c>
      <c r="Y96" s="208">
        <v>1541505834.0599999</v>
      </c>
      <c r="Z96" s="208">
        <v>1049946321.6</v>
      </c>
      <c r="AA96" s="208">
        <v>785154379.07999897</v>
      </c>
    </row>
    <row r="97" spans="10:27" ht="15" customHeight="1" x14ac:dyDescent="0.2">
      <c r="J97" s="202" t="str">
        <f xml:space="preserve"> _xll.EPMOlapMemberO("[COSTCENTER].[PARENTH1].[1001]","","1001","","000")</f>
        <v>1001</v>
      </c>
      <c r="K97" s="209" t="str">
        <f xml:space="preserve"> _xll.EPMOlapMemberO("[C_ACCOUNT].[PARENTH1].[OTHER_PROPERTY]","","OTHER_PROPERTY","","000")</f>
        <v>OTHER_PROPERTY</v>
      </c>
      <c r="L97" s="202" t="str">
        <f>_xll.EPMMemberDesc(K97)</f>
        <v>Other property</v>
      </c>
      <c r="M97" s="203">
        <v>0</v>
      </c>
      <c r="N97" s="203">
        <v>0</v>
      </c>
      <c r="O97" s="203">
        <v>0</v>
      </c>
      <c r="P97" s="203">
        <v>14002151.310000001</v>
      </c>
      <c r="Q97" s="203">
        <v>14110774.470000001</v>
      </c>
      <c r="R97" s="203">
        <v>14219397.630000001</v>
      </c>
      <c r="S97" s="203">
        <v>14328020.789999999</v>
      </c>
      <c r="T97" s="203">
        <v>14436643.949999999</v>
      </c>
      <c r="U97" s="203">
        <v>14545267.109999999</v>
      </c>
      <c r="V97" s="203">
        <v>14653890.27</v>
      </c>
      <c r="W97" s="203">
        <v>14762513.43</v>
      </c>
      <c r="X97" s="203">
        <v>14871136.59</v>
      </c>
      <c r="Y97" s="203">
        <v>14979759.75</v>
      </c>
      <c r="Z97" s="203">
        <v>15088382.91</v>
      </c>
      <c r="AA97" s="203">
        <v>15197006.119999999</v>
      </c>
    </row>
    <row r="98" spans="10:27" ht="15" customHeight="1" x14ac:dyDescent="0.25">
      <c r="J98" s="206" t="str">
        <f xml:space="preserve"> _xll.EPMOlapMemberO("[COSTCENTER].[PARENTH1].[1001]","","1001","","000")</f>
        <v>1001</v>
      </c>
      <c r="K98" s="210" t="str">
        <f xml:space="preserve"> _xll.EPMOlapMemberO("[C_ACCOUNT].[PARENTH1].[A_1210000]","","A_1210000","","000")</f>
        <v>A_1210000</v>
      </c>
      <c r="L98" s="208" t="str">
        <f>_xll.EPMMemberDesc(K98)</f>
        <v>Nonutility Property</v>
      </c>
      <c r="M98" s="208">
        <v>0</v>
      </c>
      <c r="N98" s="208">
        <v>0</v>
      </c>
      <c r="O98" s="208">
        <v>0</v>
      </c>
      <c r="P98" s="208">
        <v>14002151.310000001</v>
      </c>
      <c r="Q98" s="208">
        <v>14110774.470000001</v>
      </c>
      <c r="R98" s="208">
        <v>14219397.630000001</v>
      </c>
      <c r="S98" s="208">
        <v>14328020.789999999</v>
      </c>
      <c r="T98" s="208">
        <v>14436643.949999999</v>
      </c>
      <c r="U98" s="208">
        <v>14545267.109999999</v>
      </c>
      <c r="V98" s="208">
        <v>14653890.27</v>
      </c>
      <c r="W98" s="208">
        <v>14762513.43</v>
      </c>
      <c r="X98" s="208">
        <v>14871136.59</v>
      </c>
      <c r="Y98" s="208">
        <v>14979759.75</v>
      </c>
      <c r="Z98" s="208">
        <v>15088382.91</v>
      </c>
      <c r="AA98" s="208">
        <v>15197006.119999999</v>
      </c>
    </row>
    <row r="99" spans="10:27" ht="15" customHeight="1" x14ac:dyDescent="0.2">
      <c r="J99" s="202" t="str">
        <f xml:space="preserve"> _xll.EPMOlapMemberO("[COSTCENTER].[PARENTH1].[1001]","","1001","","000")</f>
        <v>1001</v>
      </c>
      <c r="K99" s="205" t="str">
        <f xml:space="preserve"> _xll.EPMOlapMemberO("[C_ACCOUNT].[PARENTH1].[ACCU_DEPRECIATION]","","ACCU_DEPRECIATION","","000")</f>
        <v>ACCU_DEPRECIATION</v>
      </c>
      <c r="L99" s="202" t="str">
        <f>_xll.EPMMemberDesc(K99)</f>
        <v>Accumulated Depreciation</v>
      </c>
      <c r="M99" s="203">
        <v>0</v>
      </c>
      <c r="N99" s="203">
        <v>0</v>
      </c>
      <c r="O99" s="203">
        <v>0</v>
      </c>
      <c r="P99" s="203">
        <v>-3081585005.317996</v>
      </c>
      <c r="Q99" s="203">
        <v>-3103166532.242415</v>
      </c>
      <c r="R99" s="203">
        <v>-3119561094.4917073</v>
      </c>
      <c r="S99" s="203">
        <v>-3137842413.4913187</v>
      </c>
      <c r="T99" s="203">
        <v>-3158366114.5737758</v>
      </c>
      <c r="U99" s="203">
        <v>-3169566093.081481</v>
      </c>
      <c r="V99" s="203">
        <v>-3191966379.9368377</v>
      </c>
      <c r="W99" s="203">
        <v>-3212194459.5105214</v>
      </c>
      <c r="X99" s="203">
        <v>-3232866731.2001777</v>
      </c>
      <c r="Y99" s="203">
        <v>-3252206725.0323839</v>
      </c>
      <c r="Z99" s="203">
        <v>-3202884496.8489914</v>
      </c>
      <c r="AA99" s="203">
        <v>-2668016251.0726342</v>
      </c>
    </row>
    <row r="100" spans="10:27" ht="15" customHeight="1" x14ac:dyDescent="0.25">
      <c r="J100" s="206" t="str">
        <f xml:space="preserve"> _xll.EPMOlapMemberO("[COSTCENTER].[PARENTH1].[1001]","","1001","","000")</f>
        <v>1001</v>
      </c>
      <c r="K100" s="207" t="str">
        <f xml:space="preserve"> _xll.EPMOlapMemberO("[C_ACCOUNT].[PARENTH1].[A_1080000]","","A_1080000","","000")</f>
        <v>A_1080000</v>
      </c>
      <c r="L100" s="208" t="str">
        <f>_xll.EPMMemberDesc(K100)</f>
        <v>Accumulated Provision for Depreciation</v>
      </c>
      <c r="M100" s="208">
        <v>0</v>
      </c>
      <c r="N100" s="208">
        <v>0</v>
      </c>
      <c r="O100" s="208">
        <v>0</v>
      </c>
      <c r="P100" s="208">
        <v>-3357743246.6042199</v>
      </c>
      <c r="Q100" s="208">
        <v>-3377828827.7068801</v>
      </c>
      <c r="R100" s="208">
        <v>-3392722170.8716798</v>
      </c>
      <c r="S100" s="208">
        <v>-3409498226.3376098</v>
      </c>
      <c r="T100" s="208">
        <v>-3428513374.08711</v>
      </c>
      <c r="U100" s="208">
        <v>-3438201664.31775</v>
      </c>
      <c r="V100" s="208">
        <v>-3459083273.9956398</v>
      </c>
      <c r="W100" s="208">
        <v>-3477784267.1944399</v>
      </c>
      <c r="X100" s="208">
        <v>-3496922059.96698</v>
      </c>
      <c r="Y100" s="208">
        <v>-3514706314.3043399</v>
      </c>
      <c r="Z100" s="208">
        <v>-3463765591.8047299</v>
      </c>
      <c r="AA100" s="208">
        <v>-2927253429.44979</v>
      </c>
    </row>
    <row r="101" spans="10:27" ht="15" customHeight="1" x14ac:dyDescent="0.25">
      <c r="J101" s="206" t="str">
        <f xml:space="preserve"> _xll.EPMOlapMemberO("[COSTCENTER].[PARENTH1].[1001]","","1001","","000")</f>
        <v>1001</v>
      </c>
      <c r="K101" s="207" t="str">
        <f xml:space="preserve"> _xll.EPMOlapMemberO("[C_ACCOUNT].[PARENTH1].[A_1080001]","","A_1080001","","000")</f>
        <v>A_1080001</v>
      </c>
      <c r="L101" s="208" t="str">
        <f>_xll.EPMMemberDesc(K101)</f>
        <v>Retirement Work in Progress</v>
      </c>
      <c r="M101" s="208">
        <v>0</v>
      </c>
      <c r="N101" s="208">
        <v>0</v>
      </c>
      <c r="O101" s="208">
        <v>0</v>
      </c>
      <c r="P101" s="208">
        <v>59574427.32</v>
      </c>
      <c r="Q101" s="208">
        <v>59574427.32</v>
      </c>
      <c r="R101" s="208">
        <v>59574427.32</v>
      </c>
      <c r="S101" s="208">
        <v>59574427.32</v>
      </c>
      <c r="T101" s="208">
        <v>59574427.32</v>
      </c>
      <c r="U101" s="208">
        <v>59574427.32</v>
      </c>
      <c r="V101" s="208">
        <v>59574427.32</v>
      </c>
      <c r="W101" s="208">
        <v>59574427.32</v>
      </c>
      <c r="X101" s="208">
        <v>59574427.32</v>
      </c>
      <c r="Y101" s="208">
        <v>59574427.32</v>
      </c>
      <c r="Z101" s="208">
        <v>59574427.32</v>
      </c>
      <c r="AA101" s="208">
        <v>59574427.32</v>
      </c>
    </row>
    <row r="102" spans="10:27" ht="15" customHeight="1" x14ac:dyDescent="0.25">
      <c r="J102" s="206" t="str">
        <f xml:space="preserve"> _xll.EPMOlapMemberO("[COSTCENTER].[PARENTH1].[1001]","","1001","","000")</f>
        <v>1001</v>
      </c>
      <c r="K102" s="207" t="str">
        <f xml:space="preserve"> _xll.EPMOlapMemberO("[C_ACCOUNT].[PARENTH1].[A_1080100]","","A_1080100","","000")</f>
        <v>A_1080100</v>
      </c>
      <c r="L102" s="208" t="str">
        <f>_xll.EPMMemberDesc(K102)</f>
        <v>Accumulated Reserve Cost of Removal - Current</v>
      </c>
      <c r="M102" s="208">
        <v>0</v>
      </c>
      <c r="N102" s="208">
        <v>0</v>
      </c>
      <c r="O102" s="208">
        <v>0</v>
      </c>
      <c r="P102" s="208">
        <v>15728722.42</v>
      </c>
      <c r="Q102" s="208">
        <v>15733722.42</v>
      </c>
      <c r="R102" s="208">
        <v>15738722.42</v>
      </c>
      <c r="S102" s="208">
        <v>15743722.42</v>
      </c>
      <c r="T102" s="208">
        <v>15748722.42</v>
      </c>
      <c r="U102" s="208">
        <v>15753722.42</v>
      </c>
      <c r="V102" s="208">
        <v>15758722.42</v>
      </c>
      <c r="W102" s="208">
        <v>15763722.42</v>
      </c>
      <c r="X102" s="208">
        <v>15768722.42</v>
      </c>
      <c r="Y102" s="208">
        <v>15773722.42</v>
      </c>
      <c r="Z102" s="208">
        <v>15778722.42</v>
      </c>
      <c r="AA102" s="208">
        <v>15783722.42</v>
      </c>
    </row>
    <row r="103" spans="10:27" ht="15" customHeight="1" x14ac:dyDescent="0.25">
      <c r="J103" s="206" t="str">
        <f xml:space="preserve"> _xll.EPMOlapMemberO("[COSTCENTER].[PARENTH1].[1001]","","1001","","000")</f>
        <v>1001</v>
      </c>
      <c r="K103" s="207" t="str">
        <f xml:space="preserve"> _xll.EPMOlapMemberO("[C_ACCOUNT].[PARENTH1].[A_1080200]","","A_1080200","","000")</f>
        <v>A_1080200</v>
      </c>
      <c r="L103" s="208" t="str">
        <f>_xll.EPMMemberDesc(K103)</f>
        <v>Accumulated Reserve Cost of Removal - Non-Current</v>
      </c>
      <c r="M103" s="208">
        <v>0</v>
      </c>
      <c r="N103" s="208">
        <v>0</v>
      </c>
      <c r="O103" s="208">
        <v>0</v>
      </c>
      <c r="P103" s="208">
        <v>298845725.92000002</v>
      </c>
      <c r="Q103" s="208">
        <v>298940725.92000002</v>
      </c>
      <c r="R103" s="208">
        <v>299035725.92000002</v>
      </c>
      <c r="S103" s="208">
        <v>299130725.92000002</v>
      </c>
      <c r="T103" s="208">
        <v>299225725.92000002</v>
      </c>
      <c r="U103" s="208">
        <v>299320725.92000002</v>
      </c>
      <c r="V103" s="208">
        <v>299415725.92000002</v>
      </c>
      <c r="W103" s="208">
        <v>299510725.92000002</v>
      </c>
      <c r="X103" s="208">
        <v>299605725.92000002</v>
      </c>
      <c r="Y103" s="208">
        <v>299700725.92000002</v>
      </c>
      <c r="Z103" s="208">
        <v>299795725.92000002</v>
      </c>
      <c r="AA103" s="208">
        <v>299890725.92000002</v>
      </c>
    </row>
    <row r="104" spans="10:27" ht="15" customHeight="1" x14ac:dyDescent="0.25">
      <c r="J104" s="206" t="str">
        <f xml:space="preserve"> _xll.EPMOlapMemberO("[COSTCENTER].[PARENTH1].[1001]","","1001","","000")</f>
        <v>1001</v>
      </c>
      <c r="K104" s="207" t="str">
        <f xml:space="preserve"> _xll.EPMOlapMemberO("[C_ACCOUNT].[PARENTH1].[A_1110000]","","A_1110000","","000")</f>
        <v>A_1110000</v>
      </c>
      <c r="L104" s="208" t="str">
        <f>_xll.EPMMemberDesc(K104)</f>
        <v>Accumulated Provision For Amortization</v>
      </c>
      <c r="M104" s="208">
        <v>0</v>
      </c>
      <c r="N104" s="208">
        <v>0</v>
      </c>
      <c r="O104" s="208">
        <v>0</v>
      </c>
      <c r="P104" s="208">
        <v>-84938149.121887296</v>
      </c>
      <c r="Q104" s="208">
        <v>-86441854.935812697</v>
      </c>
      <c r="R104" s="208">
        <v>-87950230.550471604</v>
      </c>
      <c r="S104" s="208">
        <v>-89462047.152319804</v>
      </c>
      <c r="T104" s="208">
        <v>-90976550.0914433</v>
      </c>
      <c r="U104" s="208">
        <v>-92493584.512675196</v>
      </c>
      <c r="V104" s="208">
        <v>-94017004.372308493</v>
      </c>
      <c r="W104" s="208">
        <v>-95548229.967359096</v>
      </c>
      <c r="X104" s="208">
        <v>-97086244.6426422</v>
      </c>
      <c r="Y104" s="208">
        <v>-98644916.433654904</v>
      </c>
      <c r="Z104" s="208">
        <v>-100265739.584039</v>
      </c>
      <c r="AA104" s="208">
        <v>-101911381.534789</v>
      </c>
    </row>
    <row r="105" spans="10:27" ht="15" customHeight="1" x14ac:dyDescent="0.25">
      <c r="J105" s="206" t="str">
        <f xml:space="preserve"> _xll.EPMOlapMemberO("[COSTCENTER].[PARENTH1].[1001]","","1001","","000")</f>
        <v>1001</v>
      </c>
      <c r="K105" s="207" t="str">
        <f xml:space="preserve"> _xll.EPMOlapMemberO("[C_ACCOUNT].[PARENTH1].[A_1150000]","","A_1150000","","000")</f>
        <v>A_1150000</v>
      </c>
      <c r="L105" s="208" t="str">
        <f>_xll.EPMMemberDesc(K105)</f>
        <v>Accum Provision Amort Plant Acquisition Adjustment</v>
      </c>
      <c r="M105" s="208">
        <v>0</v>
      </c>
      <c r="N105" s="208">
        <v>0</v>
      </c>
      <c r="O105" s="208">
        <v>0</v>
      </c>
      <c r="P105" s="208">
        <v>-5956257.1100000003</v>
      </c>
      <c r="Q105" s="208">
        <v>-5975982.8499999996</v>
      </c>
      <c r="R105" s="208">
        <v>-5995708.5899999999</v>
      </c>
      <c r="S105" s="208">
        <v>-6015434.3300000001</v>
      </c>
      <c r="T105" s="208">
        <v>-6035160.0700000003</v>
      </c>
      <c r="U105" s="208">
        <v>-6054885.8099999996</v>
      </c>
      <c r="V105" s="208">
        <v>-6074611.5499999998</v>
      </c>
      <c r="W105" s="208">
        <v>-6094337.29</v>
      </c>
      <c r="X105" s="208">
        <v>-6114063.0300000003</v>
      </c>
      <c r="Y105" s="208">
        <v>-6133788.7699999996</v>
      </c>
      <c r="Z105" s="208">
        <v>-6153514.5099999998</v>
      </c>
      <c r="AA105" s="208">
        <v>-6173240.25</v>
      </c>
    </row>
    <row r="106" spans="10:27" ht="15" customHeight="1" x14ac:dyDescent="0.25">
      <c r="J106" s="206" t="str">
        <f xml:space="preserve"> _xll.EPMOlapMemberO("[COSTCENTER].[PARENTH1].[1001]","","1001","","000")</f>
        <v>1001</v>
      </c>
      <c r="K106" s="207" t="str">
        <f xml:space="preserve"> _xll.EPMOlapMemberO("[C_ACCOUNT].[PARENTH1].[A_1220000]","","A_1220000","","000")</f>
        <v>A_1220000</v>
      </c>
      <c r="L106" s="208" t="str">
        <f>_xll.EPMMemberDesc(K106)</f>
        <v>Accum Provision Depr Amortiz Nonutility Property</v>
      </c>
      <c r="M106" s="208">
        <v>0</v>
      </c>
      <c r="N106" s="208">
        <v>0</v>
      </c>
      <c r="O106" s="208">
        <v>0</v>
      </c>
      <c r="P106" s="208">
        <v>-7096228.1418888997</v>
      </c>
      <c r="Q106" s="208">
        <v>-7168742.4097221997</v>
      </c>
      <c r="R106" s="208">
        <v>-7241860.1395555995</v>
      </c>
      <c r="S106" s="208">
        <v>-7315581.3313889001</v>
      </c>
      <c r="T106" s="208">
        <v>-7389905.9852221999</v>
      </c>
      <c r="U106" s="208">
        <v>-7464834.1010555997</v>
      </c>
      <c r="V106" s="208">
        <v>-7540365.6788889002</v>
      </c>
      <c r="W106" s="208">
        <v>-7616500.7187222</v>
      </c>
      <c r="X106" s="208">
        <v>-7693239.2205555998</v>
      </c>
      <c r="Y106" s="208">
        <v>-7770581.1843889002</v>
      </c>
      <c r="Z106" s="208">
        <v>-7848526.6102221999</v>
      </c>
      <c r="AA106" s="208">
        <v>-7927075.4980555996</v>
      </c>
    </row>
    <row r="107" spans="10:27" ht="15" customHeight="1" x14ac:dyDescent="0.2">
      <c r="J107" s="202" t="str">
        <f xml:space="preserve"> _xll.EPMOlapMemberO("[COSTCENTER].[PARENTH1].[1001]","","1001","","000")</f>
        <v>1001</v>
      </c>
      <c r="K107" s="204" t="str">
        <f xml:space="preserve"> _xll.EPMOlapMemberO("[C_ACCOUNT].[PARENTH1].[OTHER_ASSETS]","","OTHER_ASSETS","","000")</f>
        <v>OTHER_ASSETS</v>
      </c>
      <c r="L107" s="202" t="str">
        <f>_xll.EPMMemberDesc(K107)</f>
        <v>OTHER ASSETS</v>
      </c>
      <c r="M107" s="203">
        <v>0</v>
      </c>
      <c r="N107" s="203">
        <v>0</v>
      </c>
      <c r="O107" s="203">
        <v>0</v>
      </c>
      <c r="P107" s="203">
        <v>1010545272.6456594</v>
      </c>
      <c r="Q107" s="203">
        <v>1013560501.0998584</v>
      </c>
      <c r="R107" s="203">
        <v>1012717577.4357784</v>
      </c>
      <c r="S107" s="203">
        <v>1012543558.9411027</v>
      </c>
      <c r="T107" s="203">
        <v>1011987378.1269292</v>
      </c>
      <c r="U107" s="203">
        <v>1011812255.7878844</v>
      </c>
      <c r="V107" s="203">
        <v>1010619129.2622443</v>
      </c>
      <c r="W107" s="203">
        <v>1005468541.1570514</v>
      </c>
      <c r="X107" s="203">
        <v>1004372670.1458852</v>
      </c>
      <c r="Y107" s="203">
        <v>1004240703.5561872</v>
      </c>
      <c r="Z107" s="203">
        <v>1057019963.2238616</v>
      </c>
      <c r="AA107" s="203">
        <v>1058001724.51965</v>
      </c>
    </row>
    <row r="108" spans="10:27" ht="15" customHeight="1" x14ac:dyDescent="0.2">
      <c r="J108" s="202" t="str">
        <f xml:space="preserve"> _xll.EPMOlapMemberO("[COSTCENTER].[PARENTH1].[1001]","","1001","","000")</f>
        <v>1001</v>
      </c>
      <c r="K108" s="205" t="str">
        <f xml:space="preserve"> _xll.EPMOlapMemberO("[C_ACCOUNT].[PARENTH1].[DEF_INCTAX_AST]","","DEF_INCTAX_AST","","000")</f>
        <v>DEF_INCTAX_AST</v>
      </c>
      <c r="L108" s="202" t="str">
        <f>_xll.EPMMemberDesc(K108)</f>
        <v>Deferred income taxes - Asset</v>
      </c>
      <c r="M108" s="203">
        <v>0</v>
      </c>
      <c r="N108" s="203">
        <v>0</v>
      </c>
      <c r="O108" s="203">
        <v>0</v>
      </c>
      <c r="P108" s="203">
        <v>594705553.30999994</v>
      </c>
      <c r="Q108" s="203">
        <v>595053682.13999999</v>
      </c>
      <c r="R108" s="203">
        <v>594480098.27999997</v>
      </c>
      <c r="S108" s="203">
        <v>593400118.80999994</v>
      </c>
      <c r="T108" s="203">
        <v>591897788.67999995</v>
      </c>
      <c r="U108" s="203">
        <v>590094640.38</v>
      </c>
      <c r="V108" s="203">
        <v>587712285.23000002</v>
      </c>
      <c r="W108" s="203">
        <v>585407091.34000003</v>
      </c>
      <c r="X108" s="203">
        <v>583357525.96000004</v>
      </c>
      <c r="Y108" s="203">
        <v>581672446.59000015</v>
      </c>
      <c r="Z108" s="203">
        <v>625817719.55000007</v>
      </c>
      <c r="AA108" s="203">
        <v>625131078.58000004</v>
      </c>
    </row>
    <row r="109" spans="10:27" ht="15" customHeight="1" x14ac:dyDescent="0.25">
      <c r="J109" s="206" t="str">
        <f xml:space="preserve"> _xll.EPMOlapMemberO("[COSTCENTER].[PARENTH1].[1001]","","1001","","000")</f>
        <v>1001</v>
      </c>
      <c r="K109" s="207" t="str">
        <f xml:space="preserve"> _xll.EPMOlapMemberO("[C_ACCOUNT].[PARENTH1].[A_1900300]","","A_1900300","","000")</f>
        <v>A_1900300</v>
      </c>
      <c r="L109" s="208" t="str">
        <f>_xll.EPMMemberDesc(K109)</f>
        <v>Deferred Tax Asset - Federal</v>
      </c>
      <c r="M109" s="208">
        <v>0</v>
      </c>
      <c r="N109" s="208">
        <v>0</v>
      </c>
      <c r="O109" s="208">
        <v>0</v>
      </c>
      <c r="P109" s="208">
        <v>99998384.189999893</v>
      </c>
      <c r="Q109" s="208">
        <v>98909996.709999904</v>
      </c>
      <c r="R109" s="208">
        <v>97756489.029999897</v>
      </c>
      <c r="S109" s="208">
        <v>96579198.819999903</v>
      </c>
      <c r="T109" s="208">
        <v>95375581.099999905</v>
      </c>
      <c r="U109" s="208">
        <v>94145420.199999899</v>
      </c>
      <c r="V109" s="208">
        <v>92803367.279999897</v>
      </c>
      <c r="W109" s="208">
        <v>91549454.409999907</v>
      </c>
      <c r="X109" s="208">
        <v>90303570.419999897</v>
      </c>
      <c r="Y109" s="208">
        <v>89069471.669999897</v>
      </c>
      <c r="Z109" s="208">
        <v>87896707.989999905</v>
      </c>
      <c r="AA109" s="208">
        <v>86737653.259999901</v>
      </c>
    </row>
    <row r="110" spans="10:27" ht="15" customHeight="1" x14ac:dyDescent="0.25">
      <c r="J110" s="206" t="str">
        <f xml:space="preserve"> _xll.EPMOlapMemberO("[COSTCENTER].[PARENTH1].[1001]","","1001","","000")</f>
        <v>1001</v>
      </c>
      <c r="K110" s="207" t="str">
        <f xml:space="preserve"> _xll.EPMOlapMemberO("[C_ACCOUNT].[PARENTH1].[A_1900303]","","A_1900303","","000")</f>
        <v>A_1900303</v>
      </c>
      <c r="L110" s="208" t="str">
        <f>_xll.EPMMemberDesc(K110)</f>
        <v>DTA Separate Company - Federal</v>
      </c>
      <c r="M110" s="208">
        <v>0</v>
      </c>
      <c r="N110" s="208">
        <v>0</v>
      </c>
      <c r="O110" s="208">
        <v>0</v>
      </c>
      <c r="P110" s="208">
        <v>111438250.09</v>
      </c>
      <c r="Q110" s="208">
        <v>110854364.45999999</v>
      </c>
      <c r="R110" s="208">
        <v>110613716.98</v>
      </c>
      <c r="S110" s="208">
        <v>110498113.23</v>
      </c>
      <c r="T110" s="208">
        <v>110520984.48</v>
      </c>
      <c r="U110" s="208">
        <v>110683467.81</v>
      </c>
      <c r="V110" s="208">
        <v>110958617.37</v>
      </c>
      <c r="W110" s="208">
        <v>111244613.81</v>
      </c>
      <c r="X110" s="208">
        <v>111487732.02</v>
      </c>
      <c r="Y110" s="208">
        <v>111562240.56</v>
      </c>
      <c r="Z110" s="208">
        <v>111432136.8</v>
      </c>
      <c r="AA110" s="208">
        <v>111229207.90000001</v>
      </c>
    </row>
    <row r="111" spans="10:27" ht="15" customHeight="1" x14ac:dyDescent="0.25">
      <c r="J111" s="206" t="str">
        <f xml:space="preserve"> _xll.EPMOlapMemberO("[COSTCENTER].[PARENTH1].[1001]","","1001","","000")</f>
        <v>1001</v>
      </c>
      <c r="K111" s="207" t="str">
        <f xml:space="preserve"> _xll.EPMOlapMemberO("[C_ACCOUNT].[PARENTH1].[A_1900305]","","A_1900305","","000")</f>
        <v>A_1900305</v>
      </c>
      <c r="L111" s="208" t="str">
        <f>_xll.EPMMemberDesc(K111)</f>
        <v>Deferred Tax Asset - Federal Non Utility</v>
      </c>
      <c r="M111" s="208">
        <v>0</v>
      </c>
      <c r="N111" s="208">
        <v>0</v>
      </c>
      <c r="O111" s="208">
        <v>0</v>
      </c>
      <c r="P111" s="208">
        <v>3169.11</v>
      </c>
      <c r="Q111" s="208">
        <v>3169.11</v>
      </c>
      <c r="R111" s="208">
        <v>3169.11</v>
      </c>
      <c r="S111" s="208">
        <v>3169.11</v>
      </c>
      <c r="T111" s="208">
        <v>3169.11</v>
      </c>
      <c r="U111" s="208">
        <v>3169.11</v>
      </c>
      <c r="V111" s="208">
        <v>3169.11</v>
      </c>
      <c r="W111" s="208">
        <v>3169.11</v>
      </c>
      <c r="X111" s="208">
        <v>3169.11</v>
      </c>
      <c r="Y111" s="208">
        <v>3169.11</v>
      </c>
      <c r="Z111" s="208">
        <v>3169.11</v>
      </c>
      <c r="AA111" s="208">
        <v>3169.11</v>
      </c>
    </row>
    <row r="112" spans="10:27" ht="15" customHeight="1" x14ac:dyDescent="0.25">
      <c r="J112" s="206" t="str">
        <f xml:space="preserve"> _xll.EPMOlapMemberO("[COSTCENTER].[PARENTH1].[1001]","","1001","","000")</f>
        <v>1001</v>
      </c>
      <c r="K112" s="207" t="str">
        <f xml:space="preserve"> _xll.EPMOlapMemberO("[C_ACCOUNT].[PARENTH1].[A_1900306]","","A_1900306","","000")</f>
        <v>A_1900306</v>
      </c>
      <c r="L112" s="208" t="str">
        <f>_xll.EPMMemberDesc(K112)</f>
        <v>Deferred Tax FIT - FAS 133</v>
      </c>
      <c r="M112" s="208">
        <v>0</v>
      </c>
      <c r="N112" s="208">
        <v>0</v>
      </c>
      <c r="O112" s="208">
        <v>0</v>
      </c>
      <c r="P112" s="208">
        <v>1926508.04</v>
      </c>
      <c r="Q112" s="208">
        <v>1926508.04</v>
      </c>
      <c r="R112" s="208">
        <v>1926508.04</v>
      </c>
      <c r="S112" s="208">
        <v>1926508.04</v>
      </c>
      <c r="T112" s="208">
        <v>1926508.04</v>
      </c>
      <c r="U112" s="208">
        <v>1926508.04</v>
      </c>
      <c r="V112" s="208">
        <v>1926508.04</v>
      </c>
      <c r="W112" s="208">
        <v>1926508.04</v>
      </c>
      <c r="X112" s="208">
        <v>1926508.04</v>
      </c>
      <c r="Y112" s="208">
        <v>1926508.04</v>
      </c>
      <c r="Z112" s="208">
        <v>1926508.04</v>
      </c>
      <c r="AA112" s="208">
        <v>1926508.04</v>
      </c>
    </row>
    <row r="113" spans="10:27" ht="15" customHeight="1" x14ac:dyDescent="0.25">
      <c r="J113" s="206" t="str">
        <f xml:space="preserve"> _xll.EPMOlapMemberO("[COSTCENTER].[PARENTH1].[1001]","","1001","","000")</f>
        <v>1001</v>
      </c>
      <c r="K113" s="207" t="str">
        <f xml:space="preserve"> _xll.EPMOlapMemberO("[C_ACCOUNT].[PARENTH1].[A_1900307]","","A_1900307","","000")</f>
        <v>A_1900307</v>
      </c>
      <c r="L113" s="208" t="str">
        <f>_xll.EPMMemberDesc(K113)</f>
        <v>Deferred Tax FIT - FAS 133 Interest</v>
      </c>
      <c r="M113" s="208">
        <v>0</v>
      </c>
      <c r="N113" s="208">
        <v>0</v>
      </c>
      <c r="O113" s="208">
        <v>0</v>
      </c>
      <c r="P113" s="208">
        <v>762394.39</v>
      </c>
      <c r="Q113" s="208">
        <v>760773.25</v>
      </c>
      <c r="R113" s="208">
        <v>759152.11</v>
      </c>
      <c r="S113" s="208">
        <v>757530.96</v>
      </c>
      <c r="T113" s="208">
        <v>755909.82</v>
      </c>
      <c r="U113" s="208">
        <v>754288.67</v>
      </c>
      <c r="V113" s="208">
        <v>752667.54</v>
      </c>
      <c r="W113" s="208">
        <v>751046.39</v>
      </c>
      <c r="X113" s="208">
        <v>749425.24</v>
      </c>
      <c r="Y113" s="208">
        <v>747804.1</v>
      </c>
      <c r="Z113" s="208">
        <v>746182.96</v>
      </c>
      <c r="AA113" s="208">
        <v>744561.81</v>
      </c>
    </row>
    <row r="114" spans="10:27" ht="15" customHeight="1" x14ac:dyDescent="0.25">
      <c r="J114" s="206" t="str">
        <f xml:space="preserve"> _xll.EPMOlapMemberO("[COSTCENTER].[PARENTH1].[1001]","","1001","","000")</f>
        <v>1001</v>
      </c>
      <c r="K114" s="207" t="str">
        <f xml:space="preserve"> _xll.EPMOlapMemberO("[C_ACCOUNT].[PARENTH1].[A_1900308]","","A_1900308","","000")</f>
        <v>A_1900308</v>
      </c>
      <c r="L114" s="208" t="str">
        <f>_xll.EPMMemberDesc(K114)</f>
        <v>Deferred Tax FIT - FAS 158</v>
      </c>
      <c r="M114" s="208">
        <v>0</v>
      </c>
      <c r="N114" s="208">
        <v>0</v>
      </c>
      <c r="O114" s="208">
        <v>0</v>
      </c>
      <c r="P114" s="208">
        <v>83446881.469999999</v>
      </c>
      <c r="Q114" s="208">
        <v>83446881.469999999</v>
      </c>
      <c r="R114" s="208">
        <v>83446881.469999999</v>
      </c>
      <c r="S114" s="208">
        <v>83446881.469999999</v>
      </c>
      <c r="T114" s="208">
        <v>83446881.469999999</v>
      </c>
      <c r="U114" s="208">
        <v>83446881.469999999</v>
      </c>
      <c r="V114" s="208">
        <v>83446881.469999999</v>
      </c>
      <c r="W114" s="208">
        <v>83446881.469999999</v>
      </c>
      <c r="X114" s="208">
        <v>83446881.469999999</v>
      </c>
      <c r="Y114" s="208">
        <v>83446881.469999999</v>
      </c>
      <c r="Z114" s="208">
        <v>83446881.469999999</v>
      </c>
      <c r="AA114" s="208">
        <v>83446881.469999999</v>
      </c>
    </row>
    <row r="115" spans="10:27" ht="15" customHeight="1" x14ac:dyDescent="0.25">
      <c r="J115" s="206" t="str">
        <f xml:space="preserve"> _xll.EPMOlapMemberO("[COSTCENTER].[PARENTH1].[1001]","","1001","","000")</f>
        <v>1001</v>
      </c>
      <c r="K115" s="207" t="str">
        <f xml:space="preserve"> _xll.EPMOlapMemberO("[C_ACCOUNT].[PARENTH1].[A_1900310]","","A_1900310","","000")</f>
        <v>A_1900310</v>
      </c>
      <c r="L115" s="208" t="str">
        <f>_xll.EPMMemberDesc(K115)</f>
        <v>Deferred Tax FIT - Credits</v>
      </c>
      <c r="M115" s="208">
        <v>0</v>
      </c>
      <c r="N115" s="208">
        <v>0</v>
      </c>
      <c r="O115" s="208">
        <v>0</v>
      </c>
      <c r="P115" s="208">
        <v>254427123.08000001</v>
      </c>
      <c r="Q115" s="208">
        <v>254427123.08000001</v>
      </c>
      <c r="R115" s="208">
        <v>254552123.08000001</v>
      </c>
      <c r="S115" s="208">
        <v>254552123.08000001</v>
      </c>
      <c r="T115" s="208">
        <v>254552123.08000001</v>
      </c>
      <c r="U115" s="208">
        <v>254677123.08000001</v>
      </c>
      <c r="V115" s="208">
        <v>254677123.08000001</v>
      </c>
      <c r="W115" s="208">
        <v>254677123.08000001</v>
      </c>
      <c r="X115" s="208">
        <v>254802123.08000001</v>
      </c>
      <c r="Y115" s="208">
        <v>254802123.08000001</v>
      </c>
      <c r="Z115" s="208">
        <v>299980987.33999997</v>
      </c>
      <c r="AA115" s="208">
        <v>300105987.33999997</v>
      </c>
    </row>
    <row r="116" spans="10:27" ht="15" customHeight="1" x14ac:dyDescent="0.25">
      <c r="J116" s="206" t="str">
        <f xml:space="preserve"> _xll.EPMOlapMemberO("[COSTCENTER].[PARENTH1].[1001]","","1001","","000")</f>
        <v>1001</v>
      </c>
      <c r="K116" s="207" t="str">
        <f xml:space="preserve"> _xll.EPMOlapMemberO("[C_ACCOUNT].[PARENTH1].[A_1900400]","","A_1900400","","000")</f>
        <v>A_1900400</v>
      </c>
      <c r="L116" s="208" t="str">
        <f>_xll.EPMMemberDesc(K116)</f>
        <v>Deferred Tax Asset - State</v>
      </c>
      <c r="M116" s="208">
        <v>0</v>
      </c>
      <c r="N116" s="208">
        <v>0</v>
      </c>
      <c r="O116" s="208">
        <v>0</v>
      </c>
      <c r="P116" s="208">
        <v>20031019.219999999</v>
      </c>
      <c r="Q116" s="208">
        <v>19273083.809999999</v>
      </c>
      <c r="R116" s="208">
        <v>18824785.199999999</v>
      </c>
      <c r="S116" s="208">
        <v>18489276.050000001</v>
      </c>
      <c r="T116" s="208">
        <v>18278673.539999999</v>
      </c>
      <c r="U116" s="208">
        <v>18194003.399999999</v>
      </c>
      <c r="V116" s="208">
        <v>18190858.030000001</v>
      </c>
      <c r="W116" s="208">
        <v>18217538.84</v>
      </c>
      <c r="X116" s="208">
        <v>18205515.449999999</v>
      </c>
      <c r="Y116" s="208">
        <v>18036899.32</v>
      </c>
      <c r="Z116" s="208">
        <v>17688704.18</v>
      </c>
      <c r="AA116" s="208">
        <v>17274789.190000001</v>
      </c>
    </row>
    <row r="117" spans="10:27" ht="15" customHeight="1" x14ac:dyDescent="0.25">
      <c r="J117" s="206" t="str">
        <f xml:space="preserve"> _xll.EPMOlapMemberO("[COSTCENTER].[PARENTH1].[1001]","","1001","","000")</f>
        <v>1001</v>
      </c>
      <c r="K117" s="207" t="str">
        <f xml:space="preserve"> _xll.EPMOlapMemberO("[C_ACCOUNT].[PARENTH1].[A_1900403]","","A_1900403","","000")</f>
        <v>A_1900403</v>
      </c>
      <c r="L117" s="208" t="str">
        <f>_xll.EPMMemberDesc(K117)</f>
        <v>DTA Separate Company - State</v>
      </c>
      <c r="M117" s="208">
        <v>0</v>
      </c>
      <c r="N117" s="208">
        <v>0</v>
      </c>
      <c r="O117" s="208">
        <v>0</v>
      </c>
      <c r="P117" s="208">
        <v>8385261.21</v>
      </c>
      <c r="Q117" s="208">
        <v>11165668.99</v>
      </c>
      <c r="R117" s="208">
        <v>12311609.34</v>
      </c>
      <c r="S117" s="208">
        <v>12862103.43</v>
      </c>
      <c r="T117" s="208">
        <v>12753192.710000001</v>
      </c>
      <c r="U117" s="208">
        <v>11979462.57</v>
      </c>
      <c r="V117" s="208">
        <v>10669226.58</v>
      </c>
      <c r="W117" s="208">
        <v>9307338.75</v>
      </c>
      <c r="X117" s="208">
        <v>8149632.9900000002</v>
      </c>
      <c r="Y117" s="208">
        <v>7794830.4000000004</v>
      </c>
      <c r="Z117" s="208">
        <v>8414372.1099999994</v>
      </c>
      <c r="AA117" s="208">
        <v>9380700.2100000009</v>
      </c>
    </row>
    <row r="118" spans="10:27" ht="15" customHeight="1" x14ac:dyDescent="0.25">
      <c r="J118" s="206" t="str">
        <f xml:space="preserve"> _xll.EPMOlapMemberO("[COSTCENTER].[PARENTH1].[1001]","","1001","","000")</f>
        <v>1001</v>
      </c>
      <c r="K118" s="207" t="str">
        <f xml:space="preserve"> _xll.EPMOlapMemberO("[C_ACCOUNT].[PARENTH1].[A_1900405]","","A_1900405","","000")</f>
        <v>A_1900405</v>
      </c>
      <c r="L118" s="208" t="str">
        <f>_xll.EPMMemberDesc(K118)</f>
        <v>Deferred Tax Asset - State Non Utility</v>
      </c>
      <c r="M118" s="208">
        <v>0</v>
      </c>
      <c r="N118" s="208">
        <v>0</v>
      </c>
      <c r="O118" s="208">
        <v>0</v>
      </c>
      <c r="P118" s="208">
        <v>879.58</v>
      </c>
      <c r="Q118" s="208">
        <v>879.58</v>
      </c>
      <c r="R118" s="208">
        <v>879.58</v>
      </c>
      <c r="S118" s="208">
        <v>879.58</v>
      </c>
      <c r="T118" s="208">
        <v>879.58</v>
      </c>
      <c r="U118" s="208">
        <v>879.58</v>
      </c>
      <c r="V118" s="208">
        <v>879.58</v>
      </c>
      <c r="W118" s="208">
        <v>879.58</v>
      </c>
      <c r="X118" s="208">
        <v>879.58</v>
      </c>
      <c r="Y118" s="208">
        <v>879.58</v>
      </c>
      <c r="Z118" s="208">
        <v>879.58</v>
      </c>
      <c r="AA118" s="208">
        <v>879.58</v>
      </c>
    </row>
    <row r="119" spans="10:27" ht="15" customHeight="1" x14ac:dyDescent="0.25">
      <c r="J119" s="206" t="str">
        <f xml:space="preserve"> _xll.EPMOlapMemberO("[COSTCENTER].[PARENTH1].[1001]","","1001","","000")</f>
        <v>1001</v>
      </c>
      <c r="K119" s="207" t="str">
        <f xml:space="preserve"> _xll.EPMOlapMemberO("[C_ACCOUNT].[PARENTH1].[A_1900406]","","A_1900406","","000")</f>
        <v>A_1900406</v>
      </c>
      <c r="L119" s="208" t="str">
        <f>_xll.EPMMemberDesc(K119)</f>
        <v>Deferred Tax SIT - FAS 133</v>
      </c>
      <c r="M119" s="208">
        <v>0</v>
      </c>
      <c r="N119" s="208">
        <v>0</v>
      </c>
      <c r="O119" s="208">
        <v>0</v>
      </c>
      <c r="P119" s="208">
        <v>0.2</v>
      </c>
      <c r="Q119" s="208">
        <v>0.2</v>
      </c>
      <c r="R119" s="208">
        <v>0.2</v>
      </c>
      <c r="S119" s="208">
        <v>0.2</v>
      </c>
      <c r="T119" s="208">
        <v>0.2</v>
      </c>
      <c r="U119" s="208">
        <v>0.2</v>
      </c>
      <c r="V119" s="208">
        <v>0.2</v>
      </c>
      <c r="W119" s="208">
        <v>0.2</v>
      </c>
      <c r="X119" s="208">
        <v>0.2</v>
      </c>
      <c r="Y119" s="208">
        <v>0.2</v>
      </c>
      <c r="Z119" s="208">
        <v>0.2</v>
      </c>
      <c r="AA119" s="208">
        <v>0.2</v>
      </c>
    </row>
    <row r="120" spans="10:27" ht="15" customHeight="1" x14ac:dyDescent="0.25">
      <c r="J120" s="206" t="str">
        <f xml:space="preserve"> _xll.EPMOlapMemberO("[COSTCENTER].[PARENTH1].[1001]","","1001","","000")</f>
        <v>1001</v>
      </c>
      <c r="K120" s="207" t="str">
        <f xml:space="preserve"> _xll.EPMOlapMemberO("[C_ACCOUNT].[PARENTH1].[A_1900407]","","A_1900407","","000")</f>
        <v>A_1900407</v>
      </c>
      <c r="L120" s="208" t="str">
        <f>_xll.EPMMemberDesc(K120)</f>
        <v>Deferred Tax SIT - FAS 133 Interest</v>
      </c>
      <c r="M120" s="208">
        <v>0</v>
      </c>
      <c r="N120" s="208">
        <v>0</v>
      </c>
      <c r="O120" s="208">
        <v>0</v>
      </c>
      <c r="P120" s="208">
        <v>94123.580000100003</v>
      </c>
      <c r="Q120" s="208">
        <v>93674.290000099994</v>
      </c>
      <c r="R120" s="208">
        <v>93224.990000100006</v>
      </c>
      <c r="S120" s="208">
        <v>92775.690000100003</v>
      </c>
      <c r="T120" s="208">
        <v>92326.400000099995</v>
      </c>
      <c r="U120" s="208">
        <v>91877.100000100007</v>
      </c>
      <c r="V120" s="208">
        <v>91427.800000100004</v>
      </c>
      <c r="W120" s="208">
        <v>90978.510000099996</v>
      </c>
      <c r="X120" s="208">
        <v>90529.210000100007</v>
      </c>
      <c r="Y120" s="208">
        <v>90079.910000200005</v>
      </c>
      <c r="Z120" s="208">
        <v>89630.620000199997</v>
      </c>
      <c r="AA120" s="208">
        <v>89181.320000199994</v>
      </c>
    </row>
    <row r="121" spans="10:27" ht="15" customHeight="1" x14ac:dyDescent="0.25">
      <c r="J121" s="206" t="str">
        <f xml:space="preserve"> _xll.EPMOlapMemberO("[COSTCENTER].[PARENTH1].[1001]","","1001","","000")</f>
        <v>1001</v>
      </c>
      <c r="K121" s="207" t="str">
        <f xml:space="preserve"> _xll.EPMOlapMemberO("[C_ACCOUNT].[PARENTH1].[A_1900408]","","A_1900408","","000")</f>
        <v>A_1900408</v>
      </c>
      <c r="L121" s="208" t="str">
        <f>_xll.EPMMemberDesc(K121)</f>
        <v>Deferred Tax SIT - FAS 158</v>
      </c>
      <c r="M121" s="208">
        <v>0</v>
      </c>
      <c r="N121" s="208">
        <v>0</v>
      </c>
      <c r="O121" s="208">
        <v>0</v>
      </c>
      <c r="P121" s="208">
        <v>14191559.15</v>
      </c>
      <c r="Q121" s="208">
        <v>14191559.15</v>
      </c>
      <c r="R121" s="208">
        <v>14191559.15</v>
      </c>
      <c r="S121" s="208">
        <v>14191559.15</v>
      </c>
      <c r="T121" s="208">
        <v>14191559.15</v>
      </c>
      <c r="U121" s="208">
        <v>14191559.15</v>
      </c>
      <c r="V121" s="208">
        <v>14191559.15</v>
      </c>
      <c r="W121" s="208">
        <v>14191559.15</v>
      </c>
      <c r="X121" s="208">
        <v>14191559.15</v>
      </c>
      <c r="Y121" s="208">
        <v>14191559.15</v>
      </c>
      <c r="Z121" s="208">
        <v>14191559.15</v>
      </c>
      <c r="AA121" s="208">
        <v>14191559.15</v>
      </c>
    </row>
    <row r="122" spans="10:27" ht="15" customHeight="1" x14ac:dyDescent="0.2">
      <c r="J122" s="202" t="str">
        <f xml:space="preserve"> _xll.EPMOlapMemberO("[COSTCENTER].[PARENTH1].[1001]","","1001","","000")</f>
        <v>1001</v>
      </c>
      <c r="K122" s="205" t="str">
        <f xml:space="preserve"> _xll.EPMOlapMemberO("[C_ACCOUNT].[PARENTH1].[LT_REG_AST]","","LT_REG_AST","","000")</f>
        <v>LT_REG_AST</v>
      </c>
      <c r="L122" s="202" t="str">
        <f>_xll.EPMMemberDesc(K122)</f>
        <v>Long-term regulatory assets</v>
      </c>
      <c r="M122" s="203">
        <v>0</v>
      </c>
      <c r="N122" s="203">
        <v>0</v>
      </c>
      <c r="O122" s="203">
        <v>0</v>
      </c>
      <c r="P122" s="203">
        <v>367859566.30979538</v>
      </c>
      <c r="Q122" s="203">
        <v>371275247.00399429</v>
      </c>
      <c r="R122" s="203">
        <v>372460368.22491431</v>
      </c>
      <c r="S122" s="203">
        <v>373679591.6252389</v>
      </c>
      <c r="T122" s="203">
        <v>374937925.3510651</v>
      </c>
      <c r="U122" s="203">
        <v>376271502.09202039</v>
      </c>
      <c r="V122" s="203">
        <v>377660649.2513805</v>
      </c>
      <c r="W122" s="203">
        <v>379086387.95618743</v>
      </c>
      <c r="X122" s="203">
        <v>380552541.67736828</v>
      </c>
      <c r="Y122" s="203">
        <v>382045160.86985511</v>
      </c>
      <c r="Z122" s="203">
        <v>390953465.06270438</v>
      </c>
      <c r="AA122" s="203">
        <v>391846588.00921792</v>
      </c>
    </row>
    <row r="123" spans="10:27" ht="15" customHeight="1" x14ac:dyDescent="0.2">
      <c r="J123" s="202" t="str">
        <f xml:space="preserve"> _xll.EPMOlapMemberO("[COSTCENTER].[PARENTH1].[1001]","","1001","","000")</f>
        <v>1001</v>
      </c>
      <c r="K123" s="209" t="str">
        <f xml:space="preserve"> _xll.EPMOlapMemberO("[C_ACCOUNT].[PARENTH1].[OTH_REG_AST_LT]","","OTH_REG_AST_LT","","000")</f>
        <v>OTH_REG_AST_LT</v>
      </c>
      <c r="L123" s="202" t="str">
        <f>_xll.EPMMemberDesc(K123)</f>
        <v>Other regulatory assets</v>
      </c>
      <c r="M123" s="203">
        <v>0</v>
      </c>
      <c r="N123" s="203">
        <v>0</v>
      </c>
      <c r="O123" s="203">
        <v>0</v>
      </c>
      <c r="P123" s="203">
        <v>275547569.10979539</v>
      </c>
      <c r="Q123" s="203">
        <v>278351670.96399432</v>
      </c>
      <c r="R123" s="203">
        <v>278887779.35491431</v>
      </c>
      <c r="S123" s="203">
        <v>279424255.96523893</v>
      </c>
      <c r="T123" s="203">
        <v>279964364.63106507</v>
      </c>
      <c r="U123" s="203">
        <v>280520085.0820204</v>
      </c>
      <c r="V123" s="203">
        <v>281075559.9413805</v>
      </c>
      <c r="W123" s="203">
        <v>281630837.9861874</v>
      </c>
      <c r="X123" s="203">
        <v>282186029.01736832</v>
      </c>
      <c r="Y123" s="203">
        <v>282740769.85985512</v>
      </c>
      <c r="Z123" s="203">
        <v>283312889.69270438</v>
      </c>
      <c r="AA123" s="203">
        <v>283884333.05921787</v>
      </c>
    </row>
    <row r="124" spans="10:27" ht="15" customHeight="1" x14ac:dyDescent="0.25">
      <c r="J124" s="206" t="str">
        <f xml:space="preserve"> _xll.EPMOlapMemberO("[COSTCENTER].[PARENTH1].[1001]","","1001","","000")</f>
        <v>1001</v>
      </c>
      <c r="K124" s="210" t="str">
        <f xml:space="preserve"> _xll.EPMOlapMemberO("[C_ACCOUNT].[PARENTH1].[A_1823200]","","A_1823200","","000")</f>
        <v>A_1823200</v>
      </c>
      <c r="L124" s="208" t="str">
        <f>_xll.EPMMemberDesc(K124)</f>
        <v>Oth Reg Asset-FAS 158 Benefit Non-Current</v>
      </c>
      <c r="M124" s="208">
        <v>0</v>
      </c>
      <c r="N124" s="208">
        <v>0</v>
      </c>
      <c r="O124" s="208">
        <v>0</v>
      </c>
      <c r="P124" s="208">
        <v>247921685</v>
      </c>
      <c r="Q124" s="208">
        <v>247921685</v>
      </c>
      <c r="R124" s="208">
        <v>247921685</v>
      </c>
      <c r="S124" s="208">
        <v>247921685</v>
      </c>
      <c r="T124" s="208">
        <v>247921685</v>
      </c>
      <c r="U124" s="208">
        <v>247921685</v>
      </c>
      <c r="V124" s="208">
        <v>247921685</v>
      </c>
      <c r="W124" s="208">
        <v>247921685</v>
      </c>
      <c r="X124" s="208">
        <v>247921685</v>
      </c>
      <c r="Y124" s="208">
        <v>247921685</v>
      </c>
      <c r="Z124" s="208">
        <v>247921685</v>
      </c>
      <c r="AA124" s="208">
        <v>247921685</v>
      </c>
    </row>
    <row r="125" spans="10:27" ht="15" customHeight="1" x14ac:dyDescent="0.25">
      <c r="J125" s="206" t="str">
        <f xml:space="preserve"> _xll.EPMOlapMemberO("[COSTCENTER].[PARENTH1].[1001]","","1001","","000")</f>
        <v>1001</v>
      </c>
      <c r="K125" s="210" t="str">
        <f xml:space="preserve"> _xll.EPMOlapMemberO("[C_ACCOUNT].[PARENTH1].[A_1823204]","","A_1823204","","000")</f>
        <v>A_1823204</v>
      </c>
      <c r="L125" s="208" t="str">
        <f>_xll.EPMMemberDesc(K125)</f>
        <v>Oth Reg Asset-ARO Asset Non-Current</v>
      </c>
      <c r="M125" s="208">
        <v>0</v>
      </c>
      <c r="N125" s="208">
        <v>0</v>
      </c>
      <c r="O125" s="208">
        <v>0</v>
      </c>
      <c r="P125" s="208">
        <v>19555085.689795401</v>
      </c>
      <c r="Q125" s="208">
        <v>20179111.713994302</v>
      </c>
      <c r="R125" s="208">
        <v>20804074.274914298</v>
      </c>
      <c r="S125" s="208">
        <v>21429978.055238899</v>
      </c>
      <c r="T125" s="208">
        <v>22056827.761065099</v>
      </c>
      <c r="U125" s="208">
        <v>22684628.122020401</v>
      </c>
      <c r="V125" s="208">
        <v>23313383.8913805</v>
      </c>
      <c r="W125" s="208">
        <v>23943099.846187402</v>
      </c>
      <c r="X125" s="208">
        <v>24573780.787368301</v>
      </c>
      <c r="Y125" s="208">
        <v>25205431.5398551</v>
      </c>
      <c r="Z125" s="208">
        <v>25838056.9527044</v>
      </c>
      <c r="AA125" s="208">
        <v>26471661.8992179</v>
      </c>
    </row>
    <row r="126" spans="10:27" ht="15" customHeight="1" x14ac:dyDescent="0.25">
      <c r="J126" s="206" t="str">
        <f xml:space="preserve"> _xll.EPMOlapMemberO("[COSTCENTER].[PARENTH1].[1001]","","1001","","000")</f>
        <v>1001</v>
      </c>
      <c r="K126" s="210" t="str">
        <f xml:space="preserve"> _xll.EPMOlapMemberO("[C_ACCOUNT].[PARENTH1].[A_1823322]","","A_1823322","","000")</f>
        <v>A_1823322</v>
      </c>
      <c r="L126" s="208" t="str">
        <f>_xll.EPMMemberDesc(K126)</f>
        <v>Oth Reg Asset-Price Responsive Load Management</v>
      </c>
      <c r="M126" s="208">
        <v>0</v>
      </c>
      <c r="N126" s="208">
        <v>0</v>
      </c>
      <c r="O126" s="208">
        <v>0</v>
      </c>
      <c r="P126" s="208">
        <v>2147994</v>
      </c>
      <c r="Q126" s="208">
        <v>2211546</v>
      </c>
      <c r="R126" s="208">
        <v>2274918</v>
      </c>
      <c r="S126" s="208">
        <v>2337717</v>
      </c>
      <c r="T126" s="208">
        <v>2399270</v>
      </c>
      <c r="U126" s="208">
        <v>2459795</v>
      </c>
      <c r="V126" s="208">
        <v>2519119</v>
      </c>
      <c r="W126" s="208">
        <v>2577286</v>
      </c>
      <c r="X126" s="208">
        <v>2634401</v>
      </c>
      <c r="Y126" s="208">
        <v>2690096</v>
      </c>
      <c r="Z126" s="208">
        <v>2744541</v>
      </c>
      <c r="AA126" s="208">
        <v>2797330</v>
      </c>
    </row>
    <row r="127" spans="10:27" ht="15" customHeight="1" x14ac:dyDescent="0.25">
      <c r="J127" s="206" t="str">
        <f xml:space="preserve"> _xll.EPMOlapMemberO("[COSTCENTER].[PARENTH1].[1001]","","1001","","000")</f>
        <v>1001</v>
      </c>
      <c r="K127" s="210" t="str">
        <f xml:space="preserve"> _xll.EPMOlapMemberO("[C_ACCOUNT].[PARENTH1].[A_1823324]","","A_1823324","","000")</f>
        <v>A_1823324</v>
      </c>
      <c r="L127" s="208" t="str">
        <f>_xll.EPMMemberDesc(K127)</f>
        <v>Oth Reg Asset-Energy Education Awareness/Outreach</v>
      </c>
      <c r="M127" s="208">
        <v>0</v>
      </c>
      <c r="N127" s="208">
        <v>0</v>
      </c>
      <c r="O127" s="208">
        <v>0</v>
      </c>
      <c r="P127" s="208">
        <v>22916</v>
      </c>
      <c r="Q127" s="208">
        <v>22187</v>
      </c>
      <c r="R127" s="208">
        <v>21458</v>
      </c>
      <c r="S127" s="208">
        <v>20729</v>
      </c>
      <c r="T127" s="208">
        <v>20000</v>
      </c>
      <c r="U127" s="208">
        <v>19271</v>
      </c>
      <c r="V127" s="208">
        <v>18542</v>
      </c>
      <c r="W127" s="208">
        <v>17813</v>
      </c>
      <c r="X127" s="208">
        <v>17084</v>
      </c>
      <c r="Y127" s="208">
        <v>16355</v>
      </c>
      <c r="Z127" s="208">
        <v>15626</v>
      </c>
      <c r="AA127" s="208">
        <v>14897</v>
      </c>
    </row>
    <row r="128" spans="10:27" ht="15" customHeight="1" x14ac:dyDescent="0.25">
      <c r="J128" s="206" t="str">
        <f xml:space="preserve"> _xll.EPMOlapMemberO("[COSTCENTER].[PARENTH1].[1001]","","1001","","000")</f>
        <v>1001</v>
      </c>
      <c r="K128" s="210" t="str">
        <f xml:space="preserve"> _xll.EPMOlapMemberO("[C_ACCOUNT].[PARENTH1].[A_1890200]","","A_1890200","","000")</f>
        <v>A_1890200</v>
      </c>
      <c r="L128" s="208" t="str">
        <f>_xll.EPMMemberDesc(K128)</f>
        <v>Unamortized Loss on Reacquired Debt</v>
      </c>
      <c r="M128" s="208">
        <v>0</v>
      </c>
      <c r="N128" s="208">
        <v>0</v>
      </c>
      <c r="O128" s="208">
        <v>0</v>
      </c>
      <c r="P128" s="208">
        <v>3135830.42</v>
      </c>
      <c r="Q128" s="208">
        <v>3070091.25</v>
      </c>
      <c r="R128" s="208">
        <v>3004352.08</v>
      </c>
      <c r="S128" s="208">
        <v>2938612.91</v>
      </c>
      <c r="T128" s="208">
        <v>2876805.87</v>
      </c>
      <c r="U128" s="208">
        <v>2830687.96</v>
      </c>
      <c r="V128" s="208">
        <v>2784570.05</v>
      </c>
      <c r="W128" s="208">
        <v>2738452.14</v>
      </c>
      <c r="X128" s="208">
        <v>2692334.23</v>
      </c>
      <c r="Y128" s="208">
        <v>2646216.3199999998</v>
      </c>
      <c r="Z128" s="208">
        <v>2617752.7400000002</v>
      </c>
      <c r="AA128" s="208">
        <v>2589289.16</v>
      </c>
    </row>
    <row r="129" spans="10:27" ht="15" customHeight="1" x14ac:dyDescent="0.25">
      <c r="J129" s="206" t="str">
        <f xml:space="preserve"> _xll.EPMOlapMemberO("[COSTCENTER].[PARENTH1].[1001]","","1001","","000")</f>
        <v>1001</v>
      </c>
      <c r="K129" s="210" t="str">
        <f xml:space="preserve"> _xll.EPMOlapMemberO("[C_ACCOUNT].[PARENTH1].[A_1823326]","","A_1823326","","000")</f>
        <v>A_1823326</v>
      </c>
      <c r="L129" s="208" t="str">
        <f>_xll.EPMMemberDesc(K129)</f>
        <v>Oth Reg Asset-Integrated Renewable Energy System</v>
      </c>
      <c r="M129" s="208">
        <v>0</v>
      </c>
      <c r="N129" s="208">
        <v>0</v>
      </c>
      <c r="O129" s="208">
        <v>0</v>
      </c>
      <c r="P129" s="208">
        <v>2764058</v>
      </c>
      <c r="Q129" s="208">
        <v>4947050</v>
      </c>
      <c r="R129" s="208">
        <v>4861292</v>
      </c>
      <c r="S129" s="208">
        <v>4775534</v>
      </c>
      <c r="T129" s="208">
        <v>4689776</v>
      </c>
      <c r="U129" s="208">
        <v>4604018</v>
      </c>
      <c r="V129" s="208">
        <v>4518260</v>
      </c>
      <c r="W129" s="208">
        <v>4432502</v>
      </c>
      <c r="X129" s="208">
        <v>4346744</v>
      </c>
      <c r="Y129" s="208">
        <v>4260986</v>
      </c>
      <c r="Z129" s="208">
        <v>4175228</v>
      </c>
      <c r="AA129" s="208">
        <v>4089470</v>
      </c>
    </row>
    <row r="130" spans="10:27" ht="15" customHeight="1" x14ac:dyDescent="0.2">
      <c r="J130" s="202" t="str">
        <f xml:space="preserve"> _xll.EPMOlapMemberO("[COSTCENTER].[PARENTH1].[1001]","","1001","","000")</f>
        <v>1001</v>
      </c>
      <c r="K130" s="209" t="str">
        <f xml:space="preserve"> _xll.EPMOlapMemberO("[C_ACCOUNT].[PARENTH1].[REG_TAX_AST]","","REG_TAX_AST","","000")</f>
        <v>REG_TAX_AST</v>
      </c>
      <c r="L130" s="202" t="str">
        <f>_xll.EPMMemberDesc(K130)</f>
        <v>Regulatory tax asset</v>
      </c>
      <c r="M130" s="203">
        <v>0</v>
      </c>
      <c r="N130" s="203">
        <v>0</v>
      </c>
      <c r="O130" s="203">
        <v>0</v>
      </c>
      <c r="P130" s="203">
        <v>92311997.200000003</v>
      </c>
      <c r="Q130" s="203">
        <v>92923576.040000007</v>
      </c>
      <c r="R130" s="203">
        <v>93572588.870000005</v>
      </c>
      <c r="S130" s="203">
        <v>94255335.659999996</v>
      </c>
      <c r="T130" s="203">
        <v>94973560.719999999</v>
      </c>
      <c r="U130" s="203">
        <v>95751417.010000005</v>
      </c>
      <c r="V130" s="203">
        <v>96585089.310000002</v>
      </c>
      <c r="W130" s="203">
        <v>97455549.969999999</v>
      </c>
      <c r="X130" s="203">
        <v>98366512.659999996</v>
      </c>
      <c r="Y130" s="203">
        <v>99304391.010000005</v>
      </c>
      <c r="Z130" s="203">
        <v>107640575.37</v>
      </c>
      <c r="AA130" s="203">
        <v>107962254.95</v>
      </c>
    </row>
    <row r="131" spans="10:27" ht="15" customHeight="1" x14ac:dyDescent="0.25">
      <c r="J131" s="206" t="str">
        <f xml:space="preserve"> _xll.EPMOlapMemberO("[COSTCENTER].[PARENTH1].[1001]","","1001","","000")</f>
        <v>1001</v>
      </c>
      <c r="K131" s="210" t="str">
        <f xml:space="preserve"> _xll.EPMOlapMemberO("[C_ACCOUNT].[PARENTH1].[A_1823610]","","A_1823610","","000")</f>
        <v>A_1823610</v>
      </c>
      <c r="L131" s="208" t="str">
        <f>_xll.EPMMemberDesc(K131)</f>
        <v>Oth Reg Asset-FAS 109 Income Tax</v>
      </c>
      <c r="M131" s="208">
        <v>0</v>
      </c>
      <c r="N131" s="208">
        <v>0</v>
      </c>
      <c r="O131" s="208">
        <v>0</v>
      </c>
      <c r="P131" s="208">
        <v>90350404.989999995</v>
      </c>
      <c r="Q131" s="208">
        <v>90984141.329999998</v>
      </c>
      <c r="R131" s="208">
        <v>91655311.650000006</v>
      </c>
      <c r="S131" s="208">
        <v>92360215.950000003</v>
      </c>
      <c r="T131" s="208">
        <v>93100598.519999996</v>
      </c>
      <c r="U131" s="208">
        <v>93900612.310000002</v>
      </c>
      <c r="V131" s="208">
        <v>94756442.129999995</v>
      </c>
      <c r="W131" s="208">
        <v>95649060.280000001</v>
      </c>
      <c r="X131" s="208">
        <v>96582180.480000004</v>
      </c>
      <c r="Y131" s="208">
        <v>97542216.329999998</v>
      </c>
      <c r="Z131" s="208">
        <v>105900558.19</v>
      </c>
      <c r="AA131" s="208">
        <v>106244395.27</v>
      </c>
    </row>
    <row r="132" spans="10:27" ht="15" customHeight="1" x14ac:dyDescent="0.25">
      <c r="J132" s="206" t="str">
        <f xml:space="preserve"> _xll.EPMOlapMemberO("[COSTCENTER].[PARENTH1].[1001]","","1001","","000")</f>
        <v>1001</v>
      </c>
      <c r="K132" s="210" t="str">
        <f xml:space="preserve"> _xll.EPMOlapMemberO("[C_ACCOUNT].[PARENTH1].[A_1823611]","","A_1823611","","000")</f>
        <v>A_1823611</v>
      </c>
      <c r="L132" s="208" t="str">
        <f>_xll.EPMMemberDesc(K132)</f>
        <v>Oth Reg Asset-Medicare Part D</v>
      </c>
      <c r="M132" s="208">
        <v>0</v>
      </c>
      <c r="N132" s="208">
        <v>0</v>
      </c>
      <c r="O132" s="208">
        <v>0</v>
      </c>
      <c r="P132" s="208">
        <v>1961592.21</v>
      </c>
      <c r="Q132" s="208">
        <v>1939434.71</v>
      </c>
      <c r="R132" s="208">
        <v>1917277.22</v>
      </c>
      <c r="S132" s="208">
        <v>1895119.71</v>
      </c>
      <c r="T132" s="208">
        <v>1872962.2</v>
      </c>
      <c r="U132" s="208">
        <v>1850804.7</v>
      </c>
      <c r="V132" s="208">
        <v>1828647.18</v>
      </c>
      <c r="W132" s="208">
        <v>1806489.69</v>
      </c>
      <c r="X132" s="208">
        <v>1784332.18</v>
      </c>
      <c r="Y132" s="208">
        <v>1762174.68</v>
      </c>
      <c r="Z132" s="208">
        <v>1740017.18</v>
      </c>
      <c r="AA132" s="208">
        <v>1717859.68</v>
      </c>
    </row>
    <row r="133" spans="10:27" ht="15" customHeight="1" x14ac:dyDescent="0.2">
      <c r="J133" s="202" t="str">
        <f xml:space="preserve"> _xll.EPMOlapMemberO("[COSTCENTER].[PARENTH1].[1001]","","1001","","000")</f>
        <v>1001</v>
      </c>
      <c r="K133" s="205" t="str">
        <f xml:space="preserve"> _xll.EPMOlapMemberO("[C_ACCOUNT].[PARENTH1].[DEF_CHARG_OTHAST]","","DEF_CHARG_OTHAST","","000")</f>
        <v>DEF_CHARG_OTHAST</v>
      </c>
      <c r="L133" s="202" t="str">
        <f>_xll.EPMMemberDesc(K133)</f>
        <v>Deferred charges and other assets</v>
      </c>
      <c r="M133" s="203">
        <v>0</v>
      </c>
      <c r="N133" s="203">
        <v>0</v>
      </c>
      <c r="O133" s="203">
        <v>0</v>
      </c>
      <c r="P133" s="203">
        <v>47980153.025863998</v>
      </c>
      <c r="Q133" s="203">
        <v>47231571.955863997</v>
      </c>
      <c r="R133" s="203">
        <v>45777110.930863999</v>
      </c>
      <c r="S133" s="203">
        <v>45463848.505864002</v>
      </c>
      <c r="T133" s="203">
        <v>45151664.095863998</v>
      </c>
      <c r="U133" s="203">
        <v>45446113.315863997</v>
      </c>
      <c r="V133" s="203">
        <v>45246194.780864</v>
      </c>
      <c r="W133" s="203">
        <v>40975061.860863999</v>
      </c>
      <c r="X133" s="203">
        <v>40462602.508516997</v>
      </c>
      <c r="Y133" s="203">
        <v>40523096.096331999</v>
      </c>
      <c r="Z133" s="203">
        <v>40248778.611157</v>
      </c>
      <c r="AA133" s="203">
        <v>41024057.930431999</v>
      </c>
    </row>
    <row r="134" spans="10:27" ht="15" customHeight="1" x14ac:dyDescent="0.2">
      <c r="J134" s="202" t="str">
        <f xml:space="preserve"> _xll.EPMOlapMemberO("[COSTCENTER].[PARENTH1].[1001]","","1001","","000")</f>
        <v>1001</v>
      </c>
      <c r="K134" s="209" t="str">
        <f xml:space="preserve"> _xll.EPMOlapMemberO("[C_ACCOUNT].[PARENTH1].[OTH_AST_DEF_CHG]","","OTH_AST_DEF_CHG","","000")</f>
        <v>OTH_AST_DEF_CHG</v>
      </c>
      <c r="L134" s="202" t="str">
        <f>_xll.EPMMemberDesc(K134)</f>
        <v>Other assets</v>
      </c>
      <c r="M134" s="203">
        <v>0</v>
      </c>
      <c r="N134" s="203">
        <v>0</v>
      </c>
      <c r="O134" s="203">
        <v>0</v>
      </c>
      <c r="P134" s="203">
        <v>22127658.305863999</v>
      </c>
      <c r="Q134" s="203">
        <v>21525747.425864</v>
      </c>
      <c r="R134" s="203">
        <v>20218416.040863998</v>
      </c>
      <c r="S134" s="203">
        <v>20052744.165863998</v>
      </c>
      <c r="T134" s="203">
        <v>19888612.645863999</v>
      </c>
      <c r="U134" s="203">
        <v>20331578.545864001</v>
      </c>
      <c r="V134" s="203">
        <v>20280641.940864</v>
      </c>
      <c r="W134" s="203">
        <v>16158960.680864001</v>
      </c>
      <c r="X134" s="203">
        <v>15796424.198517</v>
      </c>
      <c r="Y134" s="203">
        <v>16007313.336332001</v>
      </c>
      <c r="Z134" s="203">
        <v>15870898.671157001</v>
      </c>
      <c r="AA134" s="203">
        <v>16784519.820432</v>
      </c>
    </row>
    <row r="135" spans="10:27" ht="15" customHeight="1" x14ac:dyDescent="0.25">
      <c r="J135" s="206" t="str">
        <f xml:space="preserve"> _xll.EPMOlapMemberO("[COSTCENTER].[PARENTH1].[1001]","","1001","","000")</f>
        <v>1001</v>
      </c>
      <c r="K135" s="210" t="str">
        <f xml:space="preserve"> _xll.EPMOlapMemberO("[C_ACCOUNT].[PARENTH1].[A_1830000]","","A_1830000","","000")</f>
        <v>A_1830000</v>
      </c>
      <c r="L135" s="208" t="str">
        <f>_xll.EPMMemberDesc(K135)</f>
        <v>Preliminary Survey and Investigation Charges</v>
      </c>
      <c r="M135" s="208">
        <v>0</v>
      </c>
      <c r="N135" s="208">
        <v>0</v>
      </c>
      <c r="O135" s="208">
        <v>0</v>
      </c>
      <c r="P135" s="208">
        <v>4323226.76</v>
      </c>
      <c r="Q135" s="208">
        <v>4378226.76</v>
      </c>
      <c r="R135" s="208">
        <v>2967226.76</v>
      </c>
      <c r="S135" s="208">
        <v>2967226.76</v>
      </c>
      <c r="T135" s="208">
        <v>2972226.76</v>
      </c>
      <c r="U135" s="208">
        <v>3447226.76</v>
      </c>
      <c r="V135" s="208">
        <v>3447226.76</v>
      </c>
      <c r="W135" s="208">
        <v>3457226.76</v>
      </c>
      <c r="X135" s="208">
        <v>3457226.76</v>
      </c>
      <c r="Y135" s="208">
        <v>3467226.76</v>
      </c>
      <c r="Z135" s="208">
        <v>3467226.76</v>
      </c>
      <c r="AA135" s="208">
        <v>3492226.76</v>
      </c>
    </row>
    <row r="136" spans="10:27" ht="15" customHeight="1" x14ac:dyDescent="0.25">
      <c r="J136" s="206" t="str">
        <f xml:space="preserve"> _xll.EPMOlapMemberO("[COSTCENTER].[PARENTH1].[1001]","","1001","","000")</f>
        <v>1001</v>
      </c>
      <c r="K136" s="210" t="str">
        <f xml:space="preserve"> _xll.EPMOlapMemberO("[C_ACCOUNT].[PARENTH1].[A_1860020]","","A_1860020","","000")</f>
        <v>A_1860020</v>
      </c>
      <c r="L136" s="208" t="str">
        <f>_xll.EPMMemberDesc(K136)</f>
        <v>Deferred Debits - SERP Trust</v>
      </c>
      <c r="M136" s="208">
        <v>0</v>
      </c>
      <c r="N136" s="208">
        <v>0</v>
      </c>
      <c r="O136" s="208">
        <v>0</v>
      </c>
      <c r="P136" s="208">
        <v>6965000</v>
      </c>
      <c r="Q136" s="208">
        <v>6920000</v>
      </c>
      <c r="R136" s="208">
        <v>6875000</v>
      </c>
      <c r="S136" s="208">
        <v>6830000</v>
      </c>
      <c r="T136" s="208">
        <v>6785000</v>
      </c>
      <c r="U136" s="208">
        <v>6740000</v>
      </c>
      <c r="V136" s="208">
        <v>6695000</v>
      </c>
      <c r="W136" s="208">
        <v>6650000</v>
      </c>
      <c r="X136" s="208">
        <v>6605000</v>
      </c>
      <c r="Y136" s="208">
        <v>6560000</v>
      </c>
      <c r="Z136" s="208">
        <v>6515000</v>
      </c>
      <c r="AA136" s="208">
        <v>6470000</v>
      </c>
    </row>
    <row r="137" spans="10:27" ht="15" customHeight="1" x14ac:dyDescent="0.25">
      <c r="J137" s="206" t="str">
        <f xml:space="preserve"> _xll.EPMOlapMemberO("[COSTCENTER].[PARENTH1].[1001]","","1001","","000")</f>
        <v>1001</v>
      </c>
      <c r="K137" s="210" t="str">
        <f xml:space="preserve"> _xll.EPMOlapMemberO("[C_ACCOUNT].[PARENTH1].[A_1860800]","","A_1860800","","000")</f>
        <v>A_1860800</v>
      </c>
      <c r="L137" s="208" t="str">
        <f>_xll.EPMMemberDesc(K137)</f>
        <v>Deferred Debits - Other</v>
      </c>
      <c r="M137" s="208">
        <v>0</v>
      </c>
      <c r="N137" s="208">
        <v>0</v>
      </c>
      <c r="O137" s="208">
        <v>0</v>
      </c>
      <c r="P137" s="208">
        <v>9799386.5458640009</v>
      </c>
      <c r="Q137" s="208">
        <v>9187475.6658640001</v>
      </c>
      <c r="R137" s="208">
        <v>9336144.2808640003</v>
      </c>
      <c r="S137" s="208">
        <v>9215472.4058640003</v>
      </c>
      <c r="T137" s="208">
        <v>9091340.8858640008</v>
      </c>
      <c r="U137" s="208">
        <v>9104306.7858639993</v>
      </c>
      <c r="V137" s="208">
        <v>9098370.1808640007</v>
      </c>
      <c r="W137" s="208">
        <v>5011688.920864</v>
      </c>
      <c r="X137" s="208">
        <v>4694152.4385169996</v>
      </c>
      <c r="Y137" s="208">
        <v>4940041.5763320001</v>
      </c>
      <c r="Z137" s="208">
        <v>4848626.9111569999</v>
      </c>
      <c r="AA137" s="208">
        <v>5782248.0604320001</v>
      </c>
    </row>
    <row r="138" spans="10:27" ht="15" customHeight="1" x14ac:dyDescent="0.25">
      <c r="J138" s="206" t="str">
        <f xml:space="preserve"> _xll.EPMOlapMemberO("[COSTCENTER].[PARENTH1].[1001]","","1001","","000")</f>
        <v>1001</v>
      </c>
      <c r="K138" s="210" t="str">
        <f xml:space="preserve"> _xll.EPMOlapMemberO("[C_ACCOUNT].[PARENTH1].[A_2282210]","","A_2282210","","000")</f>
        <v>A_2282210</v>
      </c>
      <c r="L138" s="208" t="str">
        <f>_xll.EPMMemberDesc(K138)</f>
        <v>I&amp;D Gen Liab Expected Recoveries - Non-Current</v>
      </c>
      <c r="M138" s="208">
        <v>0</v>
      </c>
      <c r="N138" s="208">
        <v>0</v>
      </c>
      <c r="O138" s="208">
        <v>0</v>
      </c>
      <c r="P138" s="208">
        <v>1040045</v>
      </c>
      <c r="Q138" s="208">
        <v>1040045</v>
      </c>
      <c r="R138" s="208">
        <v>1040045</v>
      </c>
      <c r="S138" s="208">
        <v>1040045</v>
      </c>
      <c r="T138" s="208">
        <v>1040045</v>
      </c>
      <c r="U138" s="208">
        <v>1040045</v>
      </c>
      <c r="V138" s="208">
        <v>1040045</v>
      </c>
      <c r="W138" s="208">
        <v>1040045</v>
      </c>
      <c r="X138" s="208">
        <v>1040045</v>
      </c>
      <c r="Y138" s="208">
        <v>1040045</v>
      </c>
      <c r="Z138" s="208">
        <v>1040045</v>
      </c>
      <c r="AA138" s="208">
        <v>1040045</v>
      </c>
    </row>
    <row r="139" spans="10:27" ht="15" customHeight="1" x14ac:dyDescent="0.2">
      <c r="J139" s="202" t="str">
        <f xml:space="preserve"> _xll.EPMOlapMemberO("[COSTCENTER].[PARENTH1].[1001]","","1001","","000")</f>
        <v>1001</v>
      </c>
      <c r="K139" s="209" t="str">
        <f xml:space="preserve"> _xll.EPMOlapMemberO("[C_ACCOUNT].[PARENTH1].[ROUS_OPT_LEASES]","","ROUS_OPT_LEASES","","000")</f>
        <v>ROUS_OPT_LEASES</v>
      </c>
      <c r="L139" s="202" t="str">
        <f>_xll.EPMMemberDesc(K139)</f>
        <v>Right of Use Assets - Operating Leases</v>
      </c>
      <c r="M139" s="203">
        <v>0</v>
      </c>
      <c r="N139" s="203">
        <v>0</v>
      </c>
      <c r="O139" s="203">
        <v>0</v>
      </c>
      <c r="P139" s="203">
        <v>25852494.719999999</v>
      </c>
      <c r="Q139" s="203">
        <v>25705824.530000001</v>
      </c>
      <c r="R139" s="203">
        <v>25558694.890000001</v>
      </c>
      <c r="S139" s="203">
        <v>25411104.34</v>
      </c>
      <c r="T139" s="203">
        <v>25263051.449999999</v>
      </c>
      <c r="U139" s="203">
        <v>25114534.77</v>
      </c>
      <c r="V139" s="203">
        <v>24965552.84</v>
      </c>
      <c r="W139" s="203">
        <v>24816101.18</v>
      </c>
      <c r="X139" s="203">
        <v>24666178.309999999</v>
      </c>
      <c r="Y139" s="203">
        <v>24515782.760000002</v>
      </c>
      <c r="Z139" s="203">
        <v>24377879.940000001</v>
      </c>
      <c r="AA139" s="203">
        <v>24239538.109999999</v>
      </c>
    </row>
    <row r="140" spans="10:27" ht="15" customHeight="1" x14ac:dyDescent="0.25">
      <c r="J140" s="206" t="str">
        <f xml:space="preserve"> _xll.EPMOlapMemberO("[COSTCENTER].[PARENTH1].[1001]","","1001","","000")</f>
        <v>1001</v>
      </c>
      <c r="K140" s="210" t="str">
        <f xml:space="preserve"> _xll.EPMOlapMemberO("[C_ACCOUNT].[PARENTH1].[A_1011200]","","A_1011200","","000")</f>
        <v>A_1011200</v>
      </c>
      <c r="L140" s="208" t="str">
        <f>_xll.EPMMemberDesc(K140)</f>
        <v>ROUS_OPT_LEASES</v>
      </c>
      <c r="M140" s="208">
        <v>0</v>
      </c>
      <c r="N140" s="208">
        <v>0</v>
      </c>
      <c r="O140" s="208">
        <v>0</v>
      </c>
      <c r="P140" s="208">
        <v>25852494.719999999</v>
      </c>
      <c r="Q140" s="208">
        <v>25705824.530000001</v>
      </c>
      <c r="R140" s="208">
        <v>25558694.890000001</v>
      </c>
      <c r="S140" s="208">
        <v>25411104.34</v>
      </c>
      <c r="T140" s="208">
        <v>25263051.449999999</v>
      </c>
      <c r="U140" s="208">
        <v>25114534.77</v>
      </c>
      <c r="V140" s="208">
        <v>24965552.84</v>
      </c>
      <c r="W140" s="208">
        <v>24816101.18</v>
      </c>
      <c r="X140" s="208">
        <v>24666178.309999999</v>
      </c>
      <c r="Y140" s="208">
        <v>24515782.760000002</v>
      </c>
      <c r="Z140" s="208">
        <v>24377879.940000001</v>
      </c>
      <c r="AA140" s="208">
        <v>24239538.109999999</v>
      </c>
    </row>
    <row r="141" spans="10:27" ht="15" customHeight="1" x14ac:dyDescent="0.2">
      <c r="J141" s="202" t="str">
        <f xml:space="preserve"> _xll.EPMOlapMemberO("[COSTCENTER].[PARENTH1].[1001]","","1001","","000")</f>
        <v>1001</v>
      </c>
      <c r="K141" s="202" t="str">
        <f xml:space="preserve"> _xll.EPMOlapMemberO("[C_ACCOUNT].[PARENTH1].[LIAB_AND_CAP]","","LIAB_AND_CAP","","000")</f>
        <v>LIAB_AND_CAP</v>
      </c>
      <c r="L141" s="202" t="str">
        <f>_xll.EPMMemberDesc(K141)</f>
        <v>LIABILITIES AND CAPITAL</v>
      </c>
      <c r="M141" s="203">
        <v>0</v>
      </c>
      <c r="N141" s="203">
        <v>0</v>
      </c>
      <c r="O141" s="203">
        <v>0</v>
      </c>
      <c r="P141" s="203">
        <v>9837894830.7834415</v>
      </c>
      <c r="Q141" s="203">
        <v>9877810849.4760246</v>
      </c>
      <c r="R141" s="203">
        <v>9950615078.9201508</v>
      </c>
      <c r="S141" s="203">
        <v>10007572639.438999</v>
      </c>
      <c r="T141" s="203">
        <v>10075351636.892029</v>
      </c>
      <c r="U141" s="203">
        <v>10229633469.52298</v>
      </c>
      <c r="V141" s="203">
        <v>10272306383.364033</v>
      </c>
      <c r="W141" s="203">
        <v>10303380101.195673</v>
      </c>
      <c r="X141" s="203">
        <v>10374519582.928949</v>
      </c>
      <c r="Y141" s="203">
        <v>10389745871.662462</v>
      </c>
      <c r="Z141" s="203">
        <v>10484312562.100817</v>
      </c>
      <c r="AA141" s="203">
        <v>10530584045.840672</v>
      </c>
    </row>
    <row r="142" spans="10:27" ht="15" customHeight="1" x14ac:dyDescent="0.2">
      <c r="J142" s="202" t="str">
        <f xml:space="preserve"> _xll.EPMOlapMemberO("[COSTCENTER].[PARENTH1].[1001]","","1001","","000")</f>
        <v>1001</v>
      </c>
      <c r="K142" s="204" t="str">
        <f xml:space="preserve"> _xll.EPMOlapMemberO("[C_ACCOUNT].[PARENTH1].[CURRENT_LIABILITIES]","","CURRENT_LIABILITIES","","000")</f>
        <v>CURRENT_LIABILITIES</v>
      </c>
      <c r="L142" s="202" t="str">
        <f>_xll.EPMMemberDesc(K142)</f>
        <v>CURRENT LIABILITIES</v>
      </c>
      <c r="M142" s="203">
        <v>0</v>
      </c>
      <c r="N142" s="203">
        <v>0</v>
      </c>
      <c r="O142" s="203">
        <v>0</v>
      </c>
      <c r="P142" s="203">
        <v>1001632760.1925611</v>
      </c>
      <c r="Q142" s="203">
        <v>981355478.35147619</v>
      </c>
      <c r="R142" s="203">
        <v>1038766965.020156</v>
      </c>
      <c r="S142" s="203">
        <v>1076448673.8429055</v>
      </c>
      <c r="T142" s="203">
        <v>582425352.37796474</v>
      </c>
      <c r="U142" s="203">
        <v>698181264.41519344</v>
      </c>
      <c r="V142" s="203">
        <v>701297135.91000283</v>
      </c>
      <c r="W142" s="203">
        <v>675587110.17924058</v>
      </c>
      <c r="X142" s="203">
        <v>937706553.17923403</v>
      </c>
      <c r="Y142" s="203">
        <v>915538314.27452397</v>
      </c>
      <c r="Z142" s="203">
        <v>976477040.41816759</v>
      </c>
      <c r="AA142" s="203">
        <v>1000082461.1474942</v>
      </c>
    </row>
    <row r="143" spans="10:27" ht="15" customHeight="1" x14ac:dyDescent="0.2">
      <c r="J143" s="202" t="str">
        <f xml:space="preserve"> _xll.EPMOlapMemberO("[COSTCENTER].[PARENTH1].[1001]","","1001","","000")</f>
        <v>1001</v>
      </c>
      <c r="K143" s="205" t="str">
        <f xml:space="preserve"> _xll.EPMOlapMemberO("[C_ACCOUNT].[PARENTH1].[LT_DEBT_INYEAR]","","LT_DEBT_INYEAR","","000")</f>
        <v>LT_DEBT_INYEAR</v>
      </c>
      <c r="L143" s="202" t="str">
        <f>_xll.EPMMemberDesc(K143)</f>
        <v>Long-term debt due within one year</v>
      </c>
      <c r="M143" s="203">
        <v>0</v>
      </c>
      <c r="N143" s="203">
        <v>0</v>
      </c>
      <c r="O143" s="203">
        <v>0</v>
      </c>
      <c r="P143" s="203">
        <v>231730320</v>
      </c>
      <c r="Q143" s="203">
        <v>231730320</v>
      </c>
      <c r="R143" s="203">
        <v>231730320</v>
      </c>
      <c r="S143" s="203">
        <v>231730320</v>
      </c>
      <c r="T143" s="203">
        <v>0</v>
      </c>
      <c r="U143" s="203">
        <v>0</v>
      </c>
      <c r="V143" s="203">
        <v>0</v>
      </c>
      <c r="W143" s="203">
        <v>0</v>
      </c>
      <c r="X143" s="203">
        <v>225000000</v>
      </c>
      <c r="Y143" s="203">
        <v>225000000</v>
      </c>
      <c r="Z143" s="203">
        <v>225000000</v>
      </c>
      <c r="AA143" s="203">
        <v>225000000</v>
      </c>
    </row>
    <row r="144" spans="10:27" ht="15" customHeight="1" x14ac:dyDescent="0.2">
      <c r="J144" s="202" t="str">
        <f xml:space="preserve"> _xll.EPMOlapMemberO("[COSTCENTER].[PARENTH1].[1001]","","1001","","000")</f>
        <v>1001</v>
      </c>
      <c r="K144" s="209" t="str">
        <f xml:space="preserve"> _xll.EPMOlapMemberO("[C_ACCOUNT].[PARENTH1].[RECOURSE]","","RECOURSE","","000")</f>
        <v>RECOURSE</v>
      </c>
      <c r="L144" s="202" t="str">
        <f>_xll.EPMMemberDesc(K144)</f>
        <v>Recourse</v>
      </c>
      <c r="M144" s="203">
        <v>0</v>
      </c>
      <c r="N144" s="203">
        <v>0</v>
      </c>
      <c r="O144" s="203">
        <v>0</v>
      </c>
      <c r="P144" s="203">
        <v>231730320</v>
      </c>
      <c r="Q144" s="203">
        <v>231730320</v>
      </c>
      <c r="R144" s="203">
        <v>231730320</v>
      </c>
      <c r="S144" s="203">
        <v>231730320</v>
      </c>
      <c r="T144" s="203">
        <v>0</v>
      </c>
      <c r="U144" s="203">
        <v>0</v>
      </c>
      <c r="V144" s="203">
        <v>0</v>
      </c>
      <c r="W144" s="203">
        <v>0</v>
      </c>
      <c r="X144" s="203">
        <v>225000000</v>
      </c>
      <c r="Y144" s="203">
        <v>225000000</v>
      </c>
      <c r="Z144" s="203">
        <v>225000000</v>
      </c>
      <c r="AA144" s="203">
        <v>225000000</v>
      </c>
    </row>
    <row r="145" spans="10:27" ht="15" customHeight="1" x14ac:dyDescent="0.25">
      <c r="J145" s="206" t="str">
        <f xml:space="preserve"> _xll.EPMOlapMemberO("[COSTCENTER].[PARENTH1].[1001]","","1001","","000")</f>
        <v>1001</v>
      </c>
      <c r="K145" s="210" t="str">
        <f xml:space="preserve"> _xll.EPMOlapMemberO("[C_ACCOUNT].[PARENTH1].[A_2210100]","","A_2210100","","000")</f>
        <v>A_2210100</v>
      </c>
      <c r="L145" s="208" t="str">
        <f>_xll.EPMMemberDesc(K145)</f>
        <v>Bonds - Recourse - Current</v>
      </c>
      <c r="M145" s="208">
        <v>0</v>
      </c>
      <c r="N145" s="208">
        <v>0</v>
      </c>
      <c r="O145" s="208">
        <v>0</v>
      </c>
      <c r="P145" s="208">
        <v>231730320</v>
      </c>
      <c r="Q145" s="208">
        <v>231730320</v>
      </c>
      <c r="R145" s="208">
        <v>231730320</v>
      </c>
      <c r="S145" s="208">
        <v>231730320</v>
      </c>
      <c r="T145" s="208">
        <v>0</v>
      </c>
      <c r="U145" s="208">
        <v>0</v>
      </c>
      <c r="V145" s="208">
        <v>0</v>
      </c>
      <c r="W145" s="208">
        <v>0</v>
      </c>
      <c r="X145" s="208">
        <v>225000000</v>
      </c>
      <c r="Y145" s="208">
        <v>225000000</v>
      </c>
      <c r="Z145" s="208">
        <v>225000000</v>
      </c>
      <c r="AA145" s="208">
        <v>225000000</v>
      </c>
    </row>
    <row r="146" spans="10:27" ht="15" customHeight="1" x14ac:dyDescent="0.2">
      <c r="J146" s="202" t="str">
        <f xml:space="preserve"> _xll.EPMOlapMemberO("[COSTCENTER].[PARENTH1].[1001]","","1001","","000")</f>
        <v>1001</v>
      </c>
      <c r="K146" s="205" t="str">
        <f xml:space="preserve"> _xll.EPMOlapMemberO("[C_ACCOUNT].[PARENTH1].[NOTES_PAYABLE]","","NOTES_PAYABLE","","000")</f>
        <v>NOTES_PAYABLE</v>
      </c>
      <c r="L146" s="202" t="str">
        <f>_xll.EPMMemberDesc(K146)</f>
        <v>Notes Payable</v>
      </c>
      <c r="M146" s="203">
        <v>0</v>
      </c>
      <c r="N146" s="203">
        <v>0</v>
      </c>
      <c r="O146" s="203">
        <v>0</v>
      </c>
      <c r="P146" s="203">
        <v>347029631.4440459</v>
      </c>
      <c r="Q146" s="203">
        <v>350888449.313703</v>
      </c>
      <c r="R146" s="203">
        <v>380112729.48223382</v>
      </c>
      <c r="S146" s="203">
        <v>409037019.31455982</v>
      </c>
      <c r="T146" s="203">
        <v>146903471.9213061</v>
      </c>
      <c r="U146" s="203">
        <v>255469076.80448341</v>
      </c>
      <c r="V146" s="203">
        <v>248121772.92566541</v>
      </c>
      <c r="W146" s="203">
        <v>193540963.34655491</v>
      </c>
      <c r="X146" s="203">
        <v>212236206.3248114</v>
      </c>
      <c r="Y146" s="203">
        <v>180016861.5588769</v>
      </c>
      <c r="Z146" s="203">
        <v>336718217.48199481</v>
      </c>
      <c r="AA146" s="203">
        <v>376359772.47319877</v>
      </c>
    </row>
    <row r="147" spans="10:27" ht="15" customHeight="1" x14ac:dyDescent="0.2">
      <c r="J147" s="202" t="str">
        <f xml:space="preserve"> _xll.EPMOlapMemberO("[COSTCENTER].[PARENTH1].[1001]","","1001","","000")</f>
        <v>1001</v>
      </c>
      <c r="K147" s="209" t="str">
        <f xml:space="preserve"> _xll.EPMOlapMemberO("[C_ACCOUNT].[PARENTH1].[NOTES_PAY_ONLY]","","Notes_Pay_Only","","000")</f>
        <v>Notes_Pay_Only</v>
      </c>
      <c r="L147" s="202" t="str">
        <f>_xll.EPMMemberDesc(K147)</f>
        <v>Notes Payable</v>
      </c>
      <c r="M147" s="203">
        <v>0</v>
      </c>
      <c r="N147" s="203">
        <v>0</v>
      </c>
      <c r="O147" s="203">
        <v>0</v>
      </c>
      <c r="P147" s="203">
        <v>347029631.4440459</v>
      </c>
      <c r="Q147" s="203">
        <v>350888449.313703</v>
      </c>
      <c r="R147" s="203">
        <v>380112729.48223382</v>
      </c>
      <c r="S147" s="203">
        <v>409037019.31455982</v>
      </c>
      <c r="T147" s="203">
        <v>146903471.9213061</v>
      </c>
      <c r="U147" s="203">
        <v>255469076.80448341</v>
      </c>
      <c r="V147" s="203">
        <v>248121772.92566541</v>
      </c>
      <c r="W147" s="203">
        <v>193540963.34655491</v>
      </c>
      <c r="X147" s="203">
        <v>212236206.3248114</v>
      </c>
      <c r="Y147" s="203">
        <v>180016861.5588769</v>
      </c>
      <c r="Z147" s="203">
        <v>336718217.48199481</v>
      </c>
      <c r="AA147" s="203">
        <v>376359772.47319877</v>
      </c>
    </row>
    <row r="148" spans="10:27" ht="15" customHeight="1" x14ac:dyDescent="0.25">
      <c r="J148" s="206" t="str">
        <f xml:space="preserve"> _xll.EPMOlapMemberO("[COSTCENTER].[PARENTH1].[1001]","","1001","","000")</f>
        <v>1001</v>
      </c>
      <c r="K148" s="210" t="str">
        <f xml:space="preserve"> _xll.EPMOlapMemberO("[C_ACCOUNT].[PARENTH1].[A_2310000]","","A_2310000","","000")</f>
        <v>A_2310000</v>
      </c>
      <c r="L148" s="208" t="str">
        <f>_xll.EPMMemberDesc(K148)</f>
        <v>Notes Payable (Borrowings &lt; 1 Year Duration)</v>
      </c>
      <c r="M148" s="208">
        <v>0</v>
      </c>
      <c r="N148" s="208">
        <v>0</v>
      </c>
      <c r="O148" s="208">
        <v>0</v>
      </c>
      <c r="P148" s="208">
        <v>347029631.4440459</v>
      </c>
      <c r="Q148" s="208">
        <v>350888449.313703</v>
      </c>
      <c r="R148" s="208">
        <v>380112729.48223382</v>
      </c>
      <c r="S148" s="208">
        <v>409037019.31455982</v>
      </c>
      <c r="T148" s="208">
        <v>146903471.9213061</v>
      </c>
      <c r="U148" s="208">
        <v>255469076.80448341</v>
      </c>
      <c r="V148" s="208">
        <v>248121772.92566541</v>
      </c>
      <c r="W148" s="208">
        <v>193540963.34655491</v>
      </c>
      <c r="X148" s="208">
        <v>212236206.3248114</v>
      </c>
      <c r="Y148" s="208">
        <v>180016861.5588769</v>
      </c>
      <c r="Z148" s="208">
        <v>336718217.48199481</v>
      </c>
      <c r="AA148" s="208">
        <v>376359772.47319877</v>
      </c>
    </row>
    <row r="149" spans="10:27" ht="15" customHeight="1" x14ac:dyDescent="0.2">
      <c r="J149" s="202" t="str">
        <f xml:space="preserve"> _xll.EPMOlapMemberO("[COSTCENTER].[PARENTH1].[1001]","","1001","","000")</f>
        <v>1001</v>
      </c>
      <c r="K149" s="205" t="str">
        <f xml:space="preserve"> _xll.EPMOlapMemberO("[C_ACCOUNT].[PARENTH1].[ACCOUNTS_PAYABLE]","","ACCOUNTS_PAYABLE","","000")</f>
        <v>ACCOUNTS_PAYABLE</v>
      </c>
      <c r="L149" s="202" t="str">
        <f>_xll.EPMMemberDesc(K149)</f>
        <v>Accounts Payable</v>
      </c>
      <c r="M149" s="203">
        <v>0</v>
      </c>
      <c r="N149" s="203">
        <v>0</v>
      </c>
      <c r="O149" s="203">
        <v>0</v>
      </c>
      <c r="P149" s="203">
        <v>211187776.01378191</v>
      </c>
      <c r="Q149" s="203">
        <v>189905732.15544069</v>
      </c>
      <c r="R149" s="203">
        <v>203700470.3723976</v>
      </c>
      <c r="S149" s="203">
        <v>203469508.1134662</v>
      </c>
      <c r="T149" s="203">
        <v>216682149.4051587</v>
      </c>
      <c r="U149" s="203">
        <v>233614094.8717775</v>
      </c>
      <c r="V149" s="203">
        <v>222125074.7585021</v>
      </c>
      <c r="W149" s="203">
        <v>228326639.80038151</v>
      </c>
      <c r="X149" s="203">
        <v>231996270.44236621</v>
      </c>
      <c r="Y149" s="203">
        <v>226137671.8187969</v>
      </c>
      <c r="Z149" s="203">
        <v>218426628.0665271</v>
      </c>
      <c r="AA149" s="203">
        <v>227647829.08115819</v>
      </c>
    </row>
    <row r="150" spans="10:27" ht="15" customHeight="1" x14ac:dyDescent="0.2">
      <c r="J150" s="202" t="str">
        <f xml:space="preserve"> _xll.EPMOlapMemberO("[COSTCENTER].[PARENTH1].[1001]","","1001","","000")</f>
        <v>1001</v>
      </c>
      <c r="K150" s="209" t="str">
        <f xml:space="preserve"> _xll.EPMOlapMemberO("[C_ACCOUNT].[PARENTH1].[AP_OUTSIDERS]","","AP_OUTSIDERS","","000")</f>
        <v>AP_OUTSIDERS</v>
      </c>
      <c r="L150" s="202" t="str">
        <f>_xll.EPMMemberDesc(K150)</f>
        <v>Accounts Payable - Outsiders</v>
      </c>
      <c r="M150" s="203">
        <v>0</v>
      </c>
      <c r="N150" s="203">
        <v>0</v>
      </c>
      <c r="O150" s="203">
        <v>0</v>
      </c>
      <c r="P150" s="203">
        <v>192694731.8337819</v>
      </c>
      <c r="Q150" s="203">
        <v>171412687.97544071</v>
      </c>
      <c r="R150" s="203">
        <v>185207426.19239759</v>
      </c>
      <c r="S150" s="203">
        <v>184976463.9334662</v>
      </c>
      <c r="T150" s="203">
        <v>198189105.22515869</v>
      </c>
      <c r="U150" s="203">
        <v>215121050.6917775</v>
      </c>
      <c r="V150" s="203">
        <v>203632030.57850209</v>
      </c>
      <c r="W150" s="203">
        <v>209833595.6203815</v>
      </c>
      <c r="X150" s="203">
        <v>213503226.26236621</v>
      </c>
      <c r="Y150" s="203">
        <v>207644627.6387969</v>
      </c>
      <c r="Z150" s="203">
        <v>199933583.88652709</v>
      </c>
      <c r="AA150" s="203">
        <v>209154784.90115821</v>
      </c>
    </row>
    <row r="151" spans="10:27" ht="15" customHeight="1" x14ac:dyDescent="0.25">
      <c r="J151" s="206" t="str">
        <f xml:space="preserve"> _xll.EPMOlapMemberO("[COSTCENTER].[PARENTH1].[1001]","","1001","","000")</f>
        <v>1001</v>
      </c>
      <c r="K151" s="210" t="str">
        <f xml:space="preserve"> _xll.EPMOlapMemberO("[C_ACCOUNT].[PARENTH1].[A_2320000]","","A_2320000","","000")</f>
        <v>A_2320000</v>
      </c>
      <c r="L151" s="208" t="str">
        <f>_xll.EPMMemberDesc(K151)</f>
        <v>AP Vouchers (Do not Post)</v>
      </c>
      <c r="M151" s="208">
        <v>0</v>
      </c>
      <c r="N151" s="208">
        <v>0</v>
      </c>
      <c r="O151" s="208">
        <v>0</v>
      </c>
      <c r="P151" s="208">
        <v>15000000</v>
      </c>
      <c r="Q151" s="208">
        <v>15000000</v>
      </c>
      <c r="R151" s="208">
        <v>15000000</v>
      </c>
      <c r="S151" s="208">
        <v>15000000</v>
      </c>
      <c r="T151" s="208">
        <v>15000000</v>
      </c>
      <c r="U151" s="208">
        <v>15000000</v>
      </c>
      <c r="V151" s="208">
        <v>15000000</v>
      </c>
      <c r="W151" s="208">
        <v>15000000</v>
      </c>
      <c r="X151" s="208">
        <v>15000000</v>
      </c>
      <c r="Y151" s="208">
        <v>15000000</v>
      </c>
      <c r="Z151" s="208">
        <v>15000000</v>
      </c>
      <c r="AA151" s="208">
        <v>15000000</v>
      </c>
    </row>
    <row r="152" spans="10:27" ht="15" customHeight="1" x14ac:dyDescent="0.25">
      <c r="J152" s="206" t="str">
        <f xml:space="preserve"> _xll.EPMOlapMemberO("[COSTCENTER].[PARENTH1].[1001]","","1001","","000")</f>
        <v>1001</v>
      </c>
      <c r="K152" s="210" t="str">
        <f xml:space="preserve"> _xll.EPMOlapMemberO("[C_ACCOUNT].[PARENTH1].[A_2320001]","","A_2320001","","000")</f>
        <v>A_2320001</v>
      </c>
      <c r="L152" s="208" t="str">
        <f>_xll.EPMMemberDesc(K152)</f>
        <v>AP Manual Accruals</v>
      </c>
      <c r="M152" s="208">
        <v>0</v>
      </c>
      <c r="N152" s="208">
        <v>0</v>
      </c>
      <c r="O152" s="208">
        <v>0</v>
      </c>
      <c r="P152" s="208">
        <v>57224854.112115197</v>
      </c>
      <c r="Q152" s="208">
        <v>57613229.6471074</v>
      </c>
      <c r="R152" s="208">
        <v>58933621.322397597</v>
      </c>
      <c r="S152" s="208">
        <v>59174431.343942396</v>
      </c>
      <c r="T152" s="208">
        <v>65287240.721825399</v>
      </c>
      <c r="U152" s="208">
        <v>67392651.541777506</v>
      </c>
      <c r="V152" s="208">
        <v>62082140.980296902</v>
      </c>
      <c r="W152" s="208">
        <v>62068553.216381498</v>
      </c>
      <c r="X152" s="208">
        <v>64048564.399032898</v>
      </c>
      <c r="Y152" s="208">
        <v>61970275.318796903</v>
      </c>
      <c r="Z152" s="208">
        <v>60380731.264527097</v>
      </c>
      <c r="AA152" s="208">
        <v>63456570.307824902</v>
      </c>
    </row>
    <row r="153" spans="10:27" ht="15" customHeight="1" x14ac:dyDescent="0.25">
      <c r="J153" s="206" t="str">
        <f xml:space="preserve"> _xll.EPMOlapMemberO("[COSTCENTER].[PARENTH1].[1001]","","1001","","000")</f>
        <v>1001</v>
      </c>
      <c r="K153" s="210" t="str">
        <f xml:space="preserve"> _xll.EPMOlapMemberO("[C_ACCOUNT].[PARENTH1].[A_2320002]","","A_2320002","","000")</f>
        <v>A_2320002</v>
      </c>
      <c r="L153" s="208" t="str">
        <f>_xll.EPMMemberDesc(K153)</f>
        <v>AP GR/IR Clearing</v>
      </c>
      <c r="M153" s="208">
        <v>0</v>
      </c>
      <c r="N153" s="208">
        <v>0</v>
      </c>
      <c r="O153" s="208">
        <v>0</v>
      </c>
      <c r="P153" s="208">
        <v>25000000</v>
      </c>
      <c r="Q153" s="208">
        <v>25000000</v>
      </c>
      <c r="R153" s="208">
        <v>25000000</v>
      </c>
      <c r="S153" s="208">
        <v>25000000</v>
      </c>
      <c r="T153" s="208">
        <v>25000000</v>
      </c>
      <c r="U153" s="208">
        <v>25000000</v>
      </c>
      <c r="V153" s="208">
        <v>25000000</v>
      </c>
      <c r="W153" s="208">
        <v>25000000</v>
      </c>
      <c r="X153" s="208">
        <v>25000000</v>
      </c>
      <c r="Y153" s="208">
        <v>25000000</v>
      </c>
      <c r="Z153" s="208">
        <v>25000000</v>
      </c>
      <c r="AA153" s="208">
        <v>25000000</v>
      </c>
    </row>
    <row r="154" spans="10:27" ht="15" customHeight="1" x14ac:dyDescent="0.25">
      <c r="J154" s="206" t="str">
        <f xml:space="preserve"> _xll.EPMOlapMemberO("[COSTCENTER].[PARENTH1].[1001]","","1001","","000")</f>
        <v>1001</v>
      </c>
      <c r="K154" s="210" t="str">
        <f xml:space="preserve"> _xll.EPMOlapMemberO("[C_ACCOUNT].[PARENTH1].[A_2320007]","","A_2320007","","000")</f>
        <v>A_2320007</v>
      </c>
      <c r="L154" s="208" t="str">
        <f>_xll.EPMMemberDesc(K154)</f>
        <v>AP Payroll</v>
      </c>
      <c r="M154" s="208">
        <v>0</v>
      </c>
      <c r="N154" s="208">
        <v>0</v>
      </c>
      <c r="O154" s="208">
        <v>0</v>
      </c>
      <c r="P154" s="208">
        <v>5142319.3250000002</v>
      </c>
      <c r="Q154" s="208">
        <v>5254393.9249999998</v>
      </c>
      <c r="R154" s="208">
        <v>8458837.9399999995</v>
      </c>
      <c r="S154" s="208">
        <v>9778862.2628571</v>
      </c>
      <c r="T154" s="208">
        <v>8680374.5999999996</v>
      </c>
      <c r="U154" s="208">
        <v>12829946.4</v>
      </c>
      <c r="V154" s="208">
        <v>1602061.6615385001</v>
      </c>
      <c r="W154" s="208">
        <v>4998432.3839999996</v>
      </c>
      <c r="X154" s="208">
        <v>5553813.7599999998</v>
      </c>
      <c r="Y154" s="208">
        <v>4628178.1333333002</v>
      </c>
      <c r="Z154" s="208">
        <v>4581896.352</v>
      </c>
      <c r="AA154" s="208">
        <v>3124020.24</v>
      </c>
    </row>
    <row r="155" spans="10:27" ht="15" customHeight="1" x14ac:dyDescent="0.25">
      <c r="J155" s="206" t="str">
        <f xml:space="preserve"> _xll.EPMOlapMemberO("[COSTCENTER].[PARENTH1].[1001]","","1001","","000")</f>
        <v>1001</v>
      </c>
      <c r="K155" s="210" t="str">
        <f xml:space="preserve"> _xll.EPMOlapMemberO("[C_ACCOUNT].[PARENTH1].[A_2320008]","","A_2320008","","000")</f>
        <v>A_2320008</v>
      </c>
      <c r="L155" s="208" t="str">
        <f>_xll.EPMMemberDesc(K155)</f>
        <v>AP 401K Fixed Match</v>
      </c>
      <c r="M155" s="208">
        <v>0</v>
      </c>
      <c r="N155" s="208">
        <v>0</v>
      </c>
      <c r="O155" s="208">
        <v>0</v>
      </c>
      <c r="P155" s="208">
        <v>602000</v>
      </c>
      <c r="Q155" s="208">
        <v>55000</v>
      </c>
      <c r="R155" s="208">
        <v>108000</v>
      </c>
      <c r="S155" s="208">
        <v>161000</v>
      </c>
      <c r="T155" s="208">
        <v>214000</v>
      </c>
      <c r="U155" s="208">
        <v>267000</v>
      </c>
      <c r="V155" s="208">
        <v>320000</v>
      </c>
      <c r="W155" s="208">
        <v>373000</v>
      </c>
      <c r="X155" s="208">
        <v>426000</v>
      </c>
      <c r="Y155" s="208">
        <v>479000</v>
      </c>
      <c r="Z155" s="208">
        <v>532000</v>
      </c>
      <c r="AA155" s="208">
        <v>585000</v>
      </c>
    </row>
    <row r="156" spans="10:27" ht="15" customHeight="1" x14ac:dyDescent="0.25">
      <c r="J156" s="206" t="str">
        <f xml:space="preserve"> _xll.EPMOlapMemberO("[COSTCENTER].[PARENTH1].[1001]","","1001","","000")</f>
        <v>1001</v>
      </c>
      <c r="K156" s="210" t="str">
        <f xml:space="preserve"> _xll.EPMOlapMemberO("[C_ACCOUNT].[PARENTH1].[A_2320009]","","A_2320009","","000")</f>
        <v>A_2320009</v>
      </c>
      <c r="L156" s="208" t="str">
        <f>_xll.EPMMemberDesc(K156)</f>
        <v>AP 401K Performance Match</v>
      </c>
      <c r="M156" s="208">
        <v>0</v>
      </c>
      <c r="N156" s="208">
        <v>0</v>
      </c>
      <c r="O156" s="208">
        <v>0</v>
      </c>
      <c r="P156" s="208">
        <v>750000</v>
      </c>
      <c r="Q156" s="208">
        <v>0</v>
      </c>
      <c r="R156" s="208">
        <v>0</v>
      </c>
      <c r="S156" s="208">
        <v>0</v>
      </c>
      <c r="T156" s="208">
        <v>0</v>
      </c>
      <c r="U156" s="208">
        <v>0</v>
      </c>
      <c r="V156" s="208">
        <v>0</v>
      </c>
      <c r="W156" s="208">
        <v>0</v>
      </c>
      <c r="X156" s="208">
        <v>0</v>
      </c>
      <c r="Y156" s="208">
        <v>0</v>
      </c>
      <c r="Z156" s="208">
        <v>750000</v>
      </c>
      <c r="AA156" s="208">
        <v>750000</v>
      </c>
    </row>
    <row r="157" spans="10:27" ht="15" customHeight="1" x14ac:dyDescent="0.25">
      <c r="J157" s="206" t="str">
        <f xml:space="preserve"> _xll.EPMOlapMemberO("[COSTCENTER].[PARENTH1].[1001]","","1001","","000")</f>
        <v>1001</v>
      </c>
      <c r="K157" s="210" t="str">
        <f xml:space="preserve"> _xll.EPMOlapMemberO("[C_ACCOUNT].[PARENTH1].[A_2320012]","","A_2320012","","000")</f>
        <v>A_2320012</v>
      </c>
      <c r="L157" s="208" t="str">
        <f>_xll.EPMMemberDesc(K157)</f>
        <v>AP PSP / Incentive</v>
      </c>
      <c r="M157" s="208">
        <v>0</v>
      </c>
      <c r="N157" s="208">
        <v>0</v>
      </c>
      <c r="O157" s="208">
        <v>0</v>
      </c>
      <c r="P157" s="208">
        <v>21797000</v>
      </c>
      <c r="Q157" s="208">
        <v>3565000</v>
      </c>
      <c r="R157" s="208">
        <v>5333000</v>
      </c>
      <c r="S157" s="208">
        <v>7101000</v>
      </c>
      <c r="T157" s="208">
        <v>8869000</v>
      </c>
      <c r="U157" s="208">
        <v>10637000</v>
      </c>
      <c r="V157" s="208">
        <v>12405000</v>
      </c>
      <c r="W157" s="208">
        <v>14173000</v>
      </c>
      <c r="X157" s="208">
        <v>15941000</v>
      </c>
      <c r="Y157" s="208">
        <v>17709000</v>
      </c>
      <c r="Z157" s="208">
        <v>19477000</v>
      </c>
      <c r="AA157" s="208">
        <v>21245000</v>
      </c>
    </row>
    <row r="158" spans="10:27" ht="15" customHeight="1" x14ac:dyDescent="0.25">
      <c r="J158" s="206" t="str">
        <f xml:space="preserve"> _xll.EPMOlapMemberO("[COSTCENTER].[PARENTH1].[1001]","","1001","","000")</f>
        <v>1001</v>
      </c>
      <c r="K158" s="210" t="str">
        <f xml:space="preserve"> _xll.EPMOlapMemberO("[C_ACCOUNT].[PARENTH1].[A_2320015]","","A_2320015","","000")</f>
        <v>A_2320015</v>
      </c>
      <c r="L158" s="208" t="str">
        <f>_xll.EPMMemberDesc(K158)</f>
        <v>AP Group Life Insurance</v>
      </c>
      <c r="M158" s="208">
        <v>0</v>
      </c>
      <c r="N158" s="208">
        <v>0</v>
      </c>
      <c r="O158" s="208">
        <v>0</v>
      </c>
      <c r="P158" s="208">
        <v>81000</v>
      </c>
      <c r="Q158" s="208">
        <v>81000</v>
      </c>
      <c r="R158" s="208">
        <v>81000</v>
      </c>
      <c r="S158" s="208">
        <v>81000</v>
      </c>
      <c r="T158" s="208">
        <v>81000</v>
      </c>
      <c r="U158" s="208">
        <v>81000</v>
      </c>
      <c r="V158" s="208">
        <v>81000</v>
      </c>
      <c r="W158" s="208">
        <v>81000</v>
      </c>
      <c r="X158" s="208">
        <v>81000</v>
      </c>
      <c r="Y158" s="208">
        <v>81000</v>
      </c>
      <c r="Z158" s="208">
        <v>81000</v>
      </c>
      <c r="AA158" s="208">
        <v>81000</v>
      </c>
    </row>
    <row r="159" spans="10:27" ht="15" customHeight="1" x14ac:dyDescent="0.25">
      <c r="J159" s="206" t="str">
        <f xml:space="preserve"> _xll.EPMOlapMemberO("[COSTCENTER].[PARENTH1].[1001]","","1001","","000")</f>
        <v>1001</v>
      </c>
      <c r="K159" s="210" t="str">
        <f xml:space="preserve"> _xll.EPMOlapMemberO("[C_ACCOUNT].[PARENTH1].[A_2320016]","","A_2320016","","000")</f>
        <v>A_2320016</v>
      </c>
      <c r="L159" s="208" t="str">
        <f>_xll.EPMMemberDesc(K159)</f>
        <v>AP Long-term Care Insurance</v>
      </c>
      <c r="M159" s="208">
        <v>0</v>
      </c>
      <c r="N159" s="208">
        <v>0</v>
      </c>
      <c r="O159" s="208">
        <v>0</v>
      </c>
      <c r="P159" s="208">
        <v>-5000</v>
      </c>
      <c r="Q159" s="208">
        <v>-5000</v>
      </c>
      <c r="R159" s="208">
        <v>-5000</v>
      </c>
      <c r="S159" s="208">
        <v>-5000</v>
      </c>
      <c r="T159" s="208">
        <v>-5000</v>
      </c>
      <c r="U159" s="208">
        <v>-5000</v>
      </c>
      <c r="V159" s="208">
        <v>-5000</v>
      </c>
      <c r="W159" s="208">
        <v>-5000</v>
      </c>
      <c r="X159" s="208">
        <v>-5000</v>
      </c>
      <c r="Y159" s="208">
        <v>-5000</v>
      </c>
      <c r="Z159" s="208">
        <v>-5000</v>
      </c>
      <c r="AA159" s="208">
        <v>-5000</v>
      </c>
    </row>
    <row r="160" spans="10:27" ht="15" customHeight="1" x14ac:dyDescent="0.25">
      <c r="J160" s="206" t="str">
        <f xml:space="preserve"> _xll.EPMOlapMemberO("[COSTCENTER].[PARENTH1].[1001]","","1001","","000")</f>
        <v>1001</v>
      </c>
      <c r="K160" s="210" t="str">
        <f xml:space="preserve"> _xll.EPMOlapMemberO("[C_ACCOUNT].[PARENTH1].[A_2320022]","","A_2320022","","000")</f>
        <v>A_2320022</v>
      </c>
      <c r="L160" s="208" t="str">
        <f>_xll.EPMMemberDesc(K160)</f>
        <v>AP Medical Insurance Reserve - Active Employees</v>
      </c>
      <c r="M160" s="208">
        <v>0</v>
      </c>
      <c r="N160" s="208">
        <v>0</v>
      </c>
      <c r="O160" s="208">
        <v>0</v>
      </c>
      <c r="P160" s="208">
        <v>8557791.7300000004</v>
      </c>
      <c r="Q160" s="208">
        <v>8937131.0700000003</v>
      </c>
      <c r="R160" s="208">
        <v>9635410.9299999997</v>
      </c>
      <c r="S160" s="208">
        <v>10010903.66</v>
      </c>
      <c r="T160" s="208">
        <v>10383056.57</v>
      </c>
      <c r="U160" s="208">
        <v>10876396.75</v>
      </c>
      <c r="V160" s="208">
        <v>11112061.27</v>
      </c>
      <c r="W160" s="208">
        <v>11383676.686666699</v>
      </c>
      <c r="X160" s="208">
        <v>11655292.1033333</v>
      </c>
      <c r="Y160" s="208">
        <v>11926907.52</v>
      </c>
      <c r="Z160" s="208">
        <v>12198522.936666699</v>
      </c>
      <c r="AA160" s="208">
        <v>12470138.3533333</v>
      </c>
    </row>
    <row r="161" spans="10:27" ht="15" customHeight="1" x14ac:dyDescent="0.25">
      <c r="J161" s="206" t="str">
        <f xml:space="preserve"> _xll.EPMOlapMemberO("[COSTCENTER].[PARENTH1].[1001]","","1001","","000")</f>
        <v>1001</v>
      </c>
      <c r="K161" s="210" t="str">
        <f xml:space="preserve"> _xll.EPMOlapMemberO("[C_ACCOUNT].[PARENTH1].[A_2320027]","","A_2320027","","000")</f>
        <v>A_2320027</v>
      </c>
      <c r="L161" s="208" t="str">
        <f>_xll.EPMMemberDesc(K161)</f>
        <v>AP FSA - Medical</v>
      </c>
      <c r="M161" s="208">
        <v>0</v>
      </c>
      <c r="N161" s="208">
        <v>0</v>
      </c>
      <c r="O161" s="208">
        <v>0</v>
      </c>
      <c r="P161" s="208">
        <v>117000</v>
      </c>
      <c r="Q161" s="208">
        <v>117000</v>
      </c>
      <c r="R161" s="208">
        <v>117000</v>
      </c>
      <c r="S161" s="208">
        <v>117000</v>
      </c>
      <c r="T161" s="208">
        <v>117000</v>
      </c>
      <c r="U161" s="208">
        <v>117000</v>
      </c>
      <c r="V161" s="208">
        <v>137000</v>
      </c>
      <c r="W161" s="208">
        <v>137000</v>
      </c>
      <c r="X161" s="208">
        <v>137000</v>
      </c>
      <c r="Y161" s="208">
        <v>157000</v>
      </c>
      <c r="Z161" s="208">
        <v>157000</v>
      </c>
      <c r="AA161" s="208">
        <v>157000</v>
      </c>
    </row>
    <row r="162" spans="10:27" ht="15" customHeight="1" x14ac:dyDescent="0.25">
      <c r="J162" s="206" t="str">
        <f xml:space="preserve"> _xll.EPMOlapMemberO("[COSTCENTER].[PARENTH1].[1001]","","1001","","000")</f>
        <v>1001</v>
      </c>
      <c r="K162" s="210" t="str">
        <f xml:space="preserve"> _xll.EPMOlapMemberO("[C_ACCOUNT].[PARENTH1].[A_2320028]","","A_2320028","","000")</f>
        <v>A_2320028</v>
      </c>
      <c r="L162" s="208" t="str">
        <f>_xll.EPMMemberDesc(K162)</f>
        <v>AP FSA - Dependent Care</v>
      </c>
      <c r="M162" s="208">
        <v>0</v>
      </c>
      <c r="N162" s="208">
        <v>0</v>
      </c>
      <c r="O162" s="208">
        <v>0</v>
      </c>
      <c r="P162" s="208">
        <v>40000</v>
      </c>
      <c r="Q162" s="208">
        <v>45000</v>
      </c>
      <c r="R162" s="208">
        <v>45000</v>
      </c>
      <c r="S162" s="208">
        <v>50000</v>
      </c>
      <c r="T162" s="208">
        <v>50000</v>
      </c>
      <c r="U162" s="208">
        <v>55000</v>
      </c>
      <c r="V162" s="208">
        <v>55000</v>
      </c>
      <c r="W162" s="208">
        <v>60000</v>
      </c>
      <c r="X162" s="208">
        <v>60000</v>
      </c>
      <c r="Y162" s="208">
        <v>60000</v>
      </c>
      <c r="Z162" s="208">
        <v>60000</v>
      </c>
      <c r="AA162" s="208">
        <v>60000</v>
      </c>
    </row>
    <row r="163" spans="10:27" ht="15" customHeight="1" x14ac:dyDescent="0.25">
      <c r="J163" s="206" t="str">
        <f xml:space="preserve"> _xll.EPMOlapMemberO("[COSTCENTER].[PARENTH1].[1001]","","1001","","000")</f>
        <v>1001</v>
      </c>
      <c r="K163" s="210" t="str">
        <f xml:space="preserve"> _xll.EPMOlapMemberO("[C_ACCOUNT].[PARENTH1].[A_2320029]","","A_2320029","","000")</f>
        <v>A_2320029</v>
      </c>
      <c r="L163" s="208" t="str">
        <f>_xll.EPMMemberDesc(K163)</f>
        <v>AP FSA - Parking/Transit</v>
      </c>
      <c r="M163" s="208">
        <v>0</v>
      </c>
      <c r="N163" s="208">
        <v>0</v>
      </c>
      <c r="O163" s="208">
        <v>0</v>
      </c>
      <c r="P163" s="208">
        <v>52000</v>
      </c>
      <c r="Q163" s="208">
        <v>57000</v>
      </c>
      <c r="R163" s="208">
        <v>57000</v>
      </c>
      <c r="S163" s="208">
        <v>57000</v>
      </c>
      <c r="T163" s="208">
        <v>59000</v>
      </c>
      <c r="U163" s="208">
        <v>64000</v>
      </c>
      <c r="V163" s="208">
        <v>61000</v>
      </c>
      <c r="W163" s="208">
        <v>61000</v>
      </c>
      <c r="X163" s="208">
        <v>61000</v>
      </c>
      <c r="Y163" s="208">
        <v>61000</v>
      </c>
      <c r="Z163" s="208">
        <v>61000</v>
      </c>
      <c r="AA163" s="208">
        <v>61000</v>
      </c>
    </row>
    <row r="164" spans="10:27" ht="15" customHeight="1" x14ac:dyDescent="0.25">
      <c r="J164" s="206" t="str">
        <f xml:space="preserve"> _xll.EPMOlapMemberO("[COSTCENTER].[PARENTH1].[1001]","","1001","","000")</f>
        <v>1001</v>
      </c>
      <c r="K164" s="210" t="str">
        <f xml:space="preserve"> _xll.EPMOlapMemberO("[C_ACCOUNT].[PARENTH1].[A_2320031]","","A_2320031","","000")</f>
        <v>A_2320031</v>
      </c>
      <c r="L164" s="208" t="str">
        <f>_xll.EPMMemberDesc(K164)</f>
        <v>AP Fuel Accrual</v>
      </c>
      <c r="M164" s="208">
        <v>0</v>
      </c>
      <c r="N164" s="208">
        <v>0</v>
      </c>
      <c r="O164" s="208">
        <v>0</v>
      </c>
      <c r="P164" s="208">
        <v>27173000</v>
      </c>
      <c r="Q164" s="208">
        <v>24866000</v>
      </c>
      <c r="R164" s="208">
        <v>29568000</v>
      </c>
      <c r="S164" s="208">
        <v>27435000</v>
      </c>
      <c r="T164" s="208">
        <v>32725000</v>
      </c>
      <c r="U164" s="208">
        <v>38280000</v>
      </c>
      <c r="V164" s="208">
        <v>42796000</v>
      </c>
      <c r="W164" s="208">
        <v>43313000</v>
      </c>
      <c r="X164" s="208">
        <v>40042000</v>
      </c>
      <c r="Y164" s="208">
        <v>37793000</v>
      </c>
      <c r="Z164" s="208">
        <v>29648000</v>
      </c>
      <c r="AA164" s="208">
        <v>33533000</v>
      </c>
    </row>
    <row r="165" spans="10:27" ht="15" customHeight="1" x14ac:dyDescent="0.25">
      <c r="J165" s="206" t="str">
        <f xml:space="preserve"> _xll.EPMOlapMemberO("[COSTCENTER].[PARENTH1].[1001]","","1001","","000")</f>
        <v>1001</v>
      </c>
      <c r="K165" s="210" t="str">
        <f xml:space="preserve"> _xll.EPMOlapMemberO("[C_ACCOUNT].[PARENTH1].[A_2320037]","","A_2320037","","000")</f>
        <v>A_2320037</v>
      </c>
      <c r="L165" s="208" t="str">
        <f>_xll.EPMMemberDesc(K165)</f>
        <v>AP Vision Benefit Plan</v>
      </c>
      <c r="M165" s="208">
        <v>0</v>
      </c>
      <c r="N165" s="208">
        <v>0</v>
      </c>
      <c r="O165" s="208">
        <v>0</v>
      </c>
      <c r="P165" s="208">
        <v>-4000</v>
      </c>
      <c r="Q165" s="208">
        <v>-4000</v>
      </c>
      <c r="R165" s="208">
        <v>-4000</v>
      </c>
      <c r="S165" s="208">
        <v>-4000</v>
      </c>
      <c r="T165" s="208">
        <v>-4000</v>
      </c>
      <c r="U165" s="208">
        <v>-2000</v>
      </c>
      <c r="V165" s="208">
        <v>-2000</v>
      </c>
      <c r="W165" s="208">
        <v>-2000</v>
      </c>
      <c r="X165" s="208">
        <v>-2000</v>
      </c>
      <c r="Y165" s="208">
        <v>-2000</v>
      </c>
      <c r="Z165" s="208">
        <v>-2000</v>
      </c>
      <c r="AA165" s="208">
        <v>-2000</v>
      </c>
    </row>
    <row r="166" spans="10:27" ht="15" customHeight="1" x14ac:dyDescent="0.25">
      <c r="J166" s="206" t="str">
        <f xml:space="preserve"> _xll.EPMOlapMemberO("[COSTCENTER].[PARENTH1].[1001]","","1001","","000")</f>
        <v>1001</v>
      </c>
      <c r="K166" s="210" t="str">
        <f xml:space="preserve"> _xll.EPMOlapMemberO("[C_ACCOUNT].[PARENTH1].[A_2320402]","","A_2320402","","000")</f>
        <v>A_2320402</v>
      </c>
      <c r="L166" s="208" t="str">
        <f>_xll.EPMMemberDesc(K166)</f>
        <v>AP CSA - Polk Unit #2</v>
      </c>
      <c r="M166" s="208">
        <v>0</v>
      </c>
      <c r="N166" s="208">
        <v>0</v>
      </c>
      <c r="O166" s="208">
        <v>0</v>
      </c>
      <c r="P166" s="208">
        <v>0</v>
      </c>
      <c r="Q166" s="208">
        <v>0</v>
      </c>
      <c r="R166" s="208">
        <v>885853</v>
      </c>
      <c r="S166" s="208">
        <v>0</v>
      </c>
      <c r="T166" s="208">
        <v>0</v>
      </c>
      <c r="U166" s="208">
        <v>885853</v>
      </c>
      <c r="V166" s="208">
        <v>0</v>
      </c>
      <c r="W166" s="208">
        <v>0</v>
      </c>
      <c r="X166" s="208">
        <v>885853</v>
      </c>
      <c r="Y166" s="208">
        <v>0</v>
      </c>
      <c r="Z166" s="208">
        <v>0</v>
      </c>
      <c r="AA166" s="208">
        <v>885853</v>
      </c>
    </row>
    <row r="167" spans="10:27" ht="15" customHeight="1" x14ac:dyDescent="0.25">
      <c r="J167" s="206" t="str">
        <f xml:space="preserve"> _xll.EPMOlapMemberO("[COSTCENTER].[PARENTH1].[1001]","","1001","","000")</f>
        <v>1001</v>
      </c>
      <c r="K167" s="210" t="str">
        <f xml:space="preserve"> _xll.EPMOlapMemberO("[C_ACCOUNT].[PARENTH1].[A_2320403]","","A_2320403","","000")</f>
        <v>A_2320403</v>
      </c>
      <c r="L167" s="208" t="str">
        <f>_xll.EPMMemberDesc(K167)</f>
        <v>AP CSA - Polk Unit #3</v>
      </c>
      <c r="M167" s="208">
        <v>0</v>
      </c>
      <c r="N167" s="208">
        <v>0</v>
      </c>
      <c r="O167" s="208">
        <v>0</v>
      </c>
      <c r="P167" s="208">
        <v>0</v>
      </c>
      <c r="Q167" s="208">
        <v>0</v>
      </c>
      <c r="R167" s="208">
        <v>800694</v>
      </c>
      <c r="S167" s="208">
        <v>0</v>
      </c>
      <c r="T167" s="208">
        <v>0</v>
      </c>
      <c r="U167" s="208">
        <v>800694</v>
      </c>
      <c r="V167" s="208">
        <v>0</v>
      </c>
      <c r="W167" s="208">
        <v>0</v>
      </c>
      <c r="X167" s="208">
        <v>800694</v>
      </c>
      <c r="Y167" s="208">
        <v>0</v>
      </c>
      <c r="Z167" s="208">
        <v>0</v>
      </c>
      <c r="AA167" s="208">
        <v>800694</v>
      </c>
    </row>
    <row r="168" spans="10:27" ht="15" customHeight="1" x14ac:dyDescent="0.25">
      <c r="J168" s="206" t="str">
        <f xml:space="preserve"> _xll.EPMOlapMemberO("[COSTCENTER].[PARENTH1].[1001]","","1001","","000")</f>
        <v>1001</v>
      </c>
      <c r="K168" s="210" t="str">
        <f xml:space="preserve"> _xll.EPMOlapMemberO("[C_ACCOUNT].[PARENTH1].[A_2320404]","","A_2320404","","000")</f>
        <v>A_2320404</v>
      </c>
      <c r="L168" s="208" t="str">
        <f>_xll.EPMMemberDesc(K168)</f>
        <v>AP CSA - Polk Unit #4</v>
      </c>
      <c r="M168" s="208">
        <v>0</v>
      </c>
      <c r="N168" s="208">
        <v>0</v>
      </c>
      <c r="O168" s="208">
        <v>0</v>
      </c>
      <c r="P168" s="208">
        <v>0</v>
      </c>
      <c r="Q168" s="208">
        <v>0</v>
      </c>
      <c r="R168" s="208">
        <v>72376</v>
      </c>
      <c r="S168" s="208">
        <v>0</v>
      </c>
      <c r="T168" s="208">
        <v>0</v>
      </c>
      <c r="U168" s="208">
        <v>72376</v>
      </c>
      <c r="V168" s="208">
        <v>0</v>
      </c>
      <c r="W168" s="208">
        <v>0</v>
      </c>
      <c r="X168" s="208">
        <v>72376</v>
      </c>
      <c r="Y168" s="208">
        <v>0</v>
      </c>
      <c r="Z168" s="208">
        <v>0</v>
      </c>
      <c r="AA168" s="208">
        <v>72376</v>
      </c>
    </row>
    <row r="169" spans="10:27" ht="15" customHeight="1" x14ac:dyDescent="0.25">
      <c r="J169" s="206" t="str">
        <f xml:space="preserve"> _xll.EPMOlapMemberO("[COSTCENTER].[PARENTH1].[1001]","","1001","","000")</f>
        <v>1001</v>
      </c>
      <c r="K169" s="210" t="str">
        <f xml:space="preserve"> _xll.EPMOlapMemberO("[C_ACCOUNT].[PARENTH1].[A_2320405]","","A_2320405","","000")</f>
        <v>A_2320405</v>
      </c>
      <c r="L169" s="208" t="str">
        <f>_xll.EPMMemberDesc(K169)</f>
        <v>AP CSA - Polk Unit #5</v>
      </c>
      <c r="M169" s="208">
        <v>0</v>
      </c>
      <c r="N169" s="208">
        <v>0</v>
      </c>
      <c r="O169" s="208">
        <v>0</v>
      </c>
      <c r="P169" s="208">
        <v>0</v>
      </c>
      <c r="Q169" s="208">
        <v>0</v>
      </c>
      <c r="R169" s="208">
        <v>154533</v>
      </c>
      <c r="S169" s="208">
        <v>0</v>
      </c>
      <c r="T169" s="208">
        <v>0</v>
      </c>
      <c r="U169" s="208">
        <v>154533</v>
      </c>
      <c r="V169" s="208">
        <v>0</v>
      </c>
      <c r="W169" s="208">
        <v>0</v>
      </c>
      <c r="X169" s="208">
        <v>154533</v>
      </c>
      <c r="Y169" s="208">
        <v>0</v>
      </c>
      <c r="Z169" s="208">
        <v>0</v>
      </c>
      <c r="AA169" s="208">
        <v>154533</v>
      </c>
    </row>
    <row r="170" spans="10:27" ht="15" customHeight="1" x14ac:dyDescent="0.25">
      <c r="J170" s="206" t="str">
        <f xml:space="preserve"> _xll.EPMOlapMemberO("[COSTCENTER].[PARENTH1].[1001]","","1001","","000")</f>
        <v>1001</v>
      </c>
      <c r="K170" s="210" t="str">
        <f xml:space="preserve"> _xll.EPMOlapMemberO("[C_ACCOUNT].[PARENTH1].[A_2410000]","","A_2410000","","000")</f>
        <v>A_2410000</v>
      </c>
      <c r="L170" s="208" t="str">
        <f>_xll.EPMMemberDesc(K170)</f>
        <v>Taxes Payable - Sales Use Tax (CIS)</v>
      </c>
      <c r="M170" s="208">
        <v>0</v>
      </c>
      <c r="N170" s="208">
        <v>0</v>
      </c>
      <c r="O170" s="208">
        <v>0</v>
      </c>
      <c r="P170" s="208">
        <v>230000</v>
      </c>
      <c r="Q170" s="208">
        <v>216000</v>
      </c>
      <c r="R170" s="208">
        <v>220000</v>
      </c>
      <c r="S170" s="208">
        <v>220000</v>
      </c>
      <c r="T170" s="208">
        <v>245000</v>
      </c>
      <c r="U170" s="208">
        <v>276000</v>
      </c>
      <c r="V170" s="208">
        <v>289000</v>
      </c>
      <c r="W170" s="208">
        <v>295000</v>
      </c>
      <c r="X170" s="208">
        <v>308000</v>
      </c>
      <c r="Y170" s="208">
        <v>277000</v>
      </c>
      <c r="Z170" s="208">
        <v>246000</v>
      </c>
      <c r="AA170" s="208">
        <v>239000</v>
      </c>
    </row>
    <row r="171" spans="10:27" ht="15" customHeight="1" x14ac:dyDescent="0.25">
      <c r="J171" s="206" t="str">
        <f xml:space="preserve"> _xll.EPMOlapMemberO("[COSTCENTER].[PARENTH1].[1001]","","1001","","000")</f>
        <v>1001</v>
      </c>
      <c r="K171" s="210" t="str">
        <f xml:space="preserve"> _xll.EPMOlapMemberO("[C_ACCOUNT].[PARENTH1].[A_2410005]","","A_2410005","","000")</f>
        <v>A_2410005</v>
      </c>
      <c r="L171" s="208" t="str">
        <f>_xll.EPMMemberDesc(K171)</f>
        <v>Taxes Payable - Sales Surtax (CIS)</v>
      </c>
      <c r="M171" s="208">
        <v>0</v>
      </c>
      <c r="N171" s="208">
        <v>0</v>
      </c>
      <c r="O171" s="208">
        <v>0</v>
      </c>
      <c r="P171" s="208">
        <v>598000</v>
      </c>
      <c r="Q171" s="208">
        <v>562000</v>
      </c>
      <c r="R171" s="208">
        <v>571000</v>
      </c>
      <c r="S171" s="208">
        <v>572000</v>
      </c>
      <c r="T171" s="208">
        <v>637000</v>
      </c>
      <c r="U171" s="208">
        <v>718000</v>
      </c>
      <c r="V171" s="208">
        <v>750000</v>
      </c>
      <c r="W171" s="208">
        <v>766000</v>
      </c>
      <c r="X171" s="208">
        <v>800000</v>
      </c>
      <c r="Y171" s="208">
        <v>719000</v>
      </c>
      <c r="Z171" s="208">
        <v>640000</v>
      </c>
      <c r="AA171" s="208">
        <v>621000</v>
      </c>
    </row>
    <row r="172" spans="10:27" ht="15" customHeight="1" x14ac:dyDescent="0.25">
      <c r="J172" s="206" t="str">
        <f xml:space="preserve"> _xll.EPMOlapMemberO("[COSTCENTER].[PARENTH1].[1001]","","1001","","000")</f>
        <v>1001</v>
      </c>
      <c r="K172" s="210" t="str">
        <f xml:space="preserve"> _xll.EPMOlapMemberO("[C_ACCOUNT].[PARENTH1].[A_2410300]","","A_2410300","","000")</f>
        <v>A_2410300</v>
      </c>
      <c r="L172" s="208" t="str">
        <f>_xll.EPMMemberDesc(K172)</f>
        <v>Taxes Payable - Sales and Use Tax (AP)</v>
      </c>
      <c r="M172" s="208">
        <v>0</v>
      </c>
      <c r="N172" s="208">
        <v>0</v>
      </c>
      <c r="O172" s="208">
        <v>0</v>
      </c>
      <c r="P172" s="208">
        <v>904000</v>
      </c>
      <c r="Q172" s="208">
        <v>849000</v>
      </c>
      <c r="R172" s="208">
        <v>863000</v>
      </c>
      <c r="S172" s="208">
        <v>865000</v>
      </c>
      <c r="T172" s="208">
        <v>963000</v>
      </c>
      <c r="U172" s="208">
        <v>1086000</v>
      </c>
      <c r="V172" s="208">
        <v>1134000</v>
      </c>
      <c r="W172" s="208">
        <v>1158000</v>
      </c>
      <c r="X172" s="208">
        <v>1210000</v>
      </c>
      <c r="Y172" s="208">
        <v>1087000</v>
      </c>
      <c r="Z172" s="208">
        <v>968000</v>
      </c>
      <c r="AA172" s="208">
        <v>939000</v>
      </c>
    </row>
    <row r="173" spans="10:27" ht="15" customHeight="1" x14ac:dyDescent="0.25">
      <c r="J173" s="206" t="str">
        <f xml:space="preserve"> _xll.EPMOlapMemberO("[COSTCENTER].[PARENTH1].[1001]","","1001","","000")</f>
        <v>1001</v>
      </c>
      <c r="K173" s="210" t="str">
        <f xml:space="preserve"> _xll.EPMOlapMemberO("[C_ACCOUNT].[PARENTH1].[A_2410305]","","A_2410305","","000")</f>
        <v>A_2410305</v>
      </c>
      <c r="L173" s="208" t="str">
        <f>_xll.EPMMemberDesc(K173)</f>
        <v>Taxes Payable - Sales Surtax (AP)</v>
      </c>
      <c r="M173" s="208">
        <v>0</v>
      </c>
      <c r="N173" s="208">
        <v>0</v>
      </c>
      <c r="O173" s="208">
        <v>0</v>
      </c>
      <c r="P173" s="208">
        <v>283000</v>
      </c>
      <c r="Q173" s="208">
        <v>266000</v>
      </c>
      <c r="R173" s="208">
        <v>270000</v>
      </c>
      <c r="S173" s="208">
        <v>271000</v>
      </c>
      <c r="T173" s="208">
        <v>301000</v>
      </c>
      <c r="U173" s="208">
        <v>340000</v>
      </c>
      <c r="V173" s="208">
        <v>355000</v>
      </c>
      <c r="W173" s="208">
        <v>362000</v>
      </c>
      <c r="X173" s="208">
        <v>379000</v>
      </c>
      <c r="Y173" s="208">
        <v>340000</v>
      </c>
      <c r="Z173" s="208">
        <v>303000</v>
      </c>
      <c r="AA173" s="208">
        <v>294000</v>
      </c>
    </row>
    <row r="174" spans="10:27" ht="15" customHeight="1" x14ac:dyDescent="0.25">
      <c r="J174" s="206" t="str">
        <f xml:space="preserve"> _xll.EPMOlapMemberO("[COSTCENTER].[PARENTH1].[1001]","","1001","","000")</f>
        <v>1001</v>
      </c>
      <c r="K174" s="210" t="str">
        <f xml:space="preserve"> _xll.EPMOlapMemberO("[C_ACCOUNT].[PARENTH1].[A_2410310]","","A_2410310","","000")</f>
        <v>A_2410310</v>
      </c>
      <c r="L174" s="208" t="str">
        <f>_xll.EPMMemberDesc(K174)</f>
        <v>Taxes Payable - Utility Tax</v>
      </c>
      <c r="M174" s="208">
        <v>0</v>
      </c>
      <c r="N174" s="208">
        <v>0</v>
      </c>
      <c r="O174" s="208">
        <v>0</v>
      </c>
      <c r="P174" s="208">
        <v>4179000</v>
      </c>
      <c r="Q174" s="208">
        <v>3924000</v>
      </c>
      <c r="R174" s="208">
        <v>3987000</v>
      </c>
      <c r="S174" s="208">
        <v>3995000</v>
      </c>
      <c r="T174" s="208">
        <v>4449000</v>
      </c>
      <c r="U174" s="208">
        <v>5016000</v>
      </c>
      <c r="V174" s="208">
        <v>5240000</v>
      </c>
      <c r="W174" s="208">
        <v>5350000</v>
      </c>
      <c r="X174" s="208">
        <v>5592000</v>
      </c>
      <c r="Y174" s="208">
        <v>5020000</v>
      </c>
      <c r="Z174" s="208">
        <v>4472000</v>
      </c>
      <c r="AA174" s="208">
        <v>4337000</v>
      </c>
    </row>
    <row r="175" spans="10:27" ht="15" customHeight="1" x14ac:dyDescent="0.25">
      <c r="J175" s="206" t="str">
        <f xml:space="preserve"> _xll.EPMOlapMemberO("[COSTCENTER].[PARENTH1].[1001]","","1001","","000")</f>
        <v>1001</v>
      </c>
      <c r="K175" s="210" t="str">
        <f xml:space="preserve"> _xll.EPMOlapMemberO("[C_ACCOUNT].[PARENTH1].[A_2420300]","","A_2420300","","000")</f>
        <v>A_2420300</v>
      </c>
      <c r="L175" s="208" t="str">
        <f>_xll.EPMMemberDesc(K175)</f>
        <v>Misc Accru Liab-Vacation Liability</v>
      </c>
      <c r="M175" s="208">
        <v>0</v>
      </c>
      <c r="N175" s="208">
        <v>0</v>
      </c>
      <c r="O175" s="208">
        <v>0</v>
      </c>
      <c r="P175" s="208">
        <v>24972766.666666701</v>
      </c>
      <c r="Q175" s="208">
        <v>25013933.333333299</v>
      </c>
      <c r="R175" s="208">
        <v>25055100</v>
      </c>
      <c r="S175" s="208">
        <v>25096266.666666701</v>
      </c>
      <c r="T175" s="208">
        <v>25137433.333333299</v>
      </c>
      <c r="U175" s="208">
        <v>25178600</v>
      </c>
      <c r="V175" s="208">
        <v>25219766.666666701</v>
      </c>
      <c r="W175" s="208">
        <v>25260933.333333299</v>
      </c>
      <c r="X175" s="208">
        <v>25302100</v>
      </c>
      <c r="Y175" s="208">
        <v>25343266.666666701</v>
      </c>
      <c r="Z175" s="208">
        <v>25384433.333333299</v>
      </c>
      <c r="AA175" s="208">
        <v>25295600</v>
      </c>
    </row>
    <row r="176" spans="10:27" ht="15" customHeight="1" x14ac:dyDescent="0.2">
      <c r="J176" s="202" t="str">
        <f xml:space="preserve"> _xll.EPMOlapMemberO("[COSTCENTER].[PARENTH1].[1001]","","1001","","000")</f>
        <v>1001</v>
      </c>
      <c r="K176" s="209" t="str">
        <f xml:space="preserve"> _xll.EPMOlapMemberO("[C_ACCOUNT].[PARENTH1].[TP_INTCO]","","TP_INTCO","","000")</f>
        <v>TP_INTCO</v>
      </c>
      <c r="L176" s="202" t="str">
        <f>_xll.EPMMemberDesc(K176)</f>
        <v>Trade Payable - Intercompany</v>
      </c>
      <c r="M176" s="203">
        <v>0</v>
      </c>
      <c r="N176" s="203">
        <v>0</v>
      </c>
      <c r="O176" s="203">
        <v>0</v>
      </c>
      <c r="P176" s="203">
        <v>18493044.18</v>
      </c>
      <c r="Q176" s="203">
        <v>18493044.18</v>
      </c>
      <c r="R176" s="203">
        <v>18493044.18</v>
      </c>
      <c r="S176" s="203">
        <v>18493044.18</v>
      </c>
      <c r="T176" s="203">
        <v>18493044.18</v>
      </c>
      <c r="U176" s="203">
        <v>18493044.18</v>
      </c>
      <c r="V176" s="203">
        <v>18493044.18</v>
      </c>
      <c r="W176" s="203">
        <v>18493044.18</v>
      </c>
      <c r="X176" s="203">
        <v>18493044.18</v>
      </c>
      <c r="Y176" s="203">
        <v>18493044.18</v>
      </c>
      <c r="Z176" s="203">
        <v>18493044.18</v>
      </c>
      <c r="AA176" s="203">
        <v>18493044.18</v>
      </c>
    </row>
    <row r="177" spans="10:27" ht="15" customHeight="1" x14ac:dyDescent="0.25">
      <c r="J177" s="206" t="str">
        <f xml:space="preserve"> _xll.EPMOlapMemberO("[COSTCENTER].[PARENTH1].[1001]","","1001","","000")</f>
        <v>1001</v>
      </c>
      <c r="K177" s="210" t="str">
        <f xml:space="preserve"> _xll.EPMOlapMemberO("[C_ACCOUNT].[PARENTH1].[A_2340700]","","A_2340700","","000")</f>
        <v>A_2340700</v>
      </c>
      <c r="L177" s="208" t="str">
        <f>_xll.EPMMemberDesc(K177)</f>
        <v>Trade Payable-Intercompany (RECON)</v>
      </c>
      <c r="M177" s="208">
        <v>0</v>
      </c>
      <c r="N177" s="208">
        <v>0</v>
      </c>
      <c r="O177" s="208">
        <v>0</v>
      </c>
      <c r="P177" s="208">
        <v>4051008.14</v>
      </c>
      <c r="Q177" s="208">
        <v>4051008.14</v>
      </c>
      <c r="R177" s="208">
        <v>4051008.14</v>
      </c>
      <c r="S177" s="208">
        <v>4051008.14</v>
      </c>
      <c r="T177" s="208">
        <v>4051008.14</v>
      </c>
      <c r="U177" s="208">
        <v>4051008.14</v>
      </c>
      <c r="V177" s="208">
        <v>4051008.14</v>
      </c>
      <c r="W177" s="208">
        <v>4051008.14</v>
      </c>
      <c r="X177" s="208">
        <v>4051008.14</v>
      </c>
      <c r="Y177" s="208">
        <v>4051008.14</v>
      </c>
      <c r="Z177" s="208">
        <v>4051008.14</v>
      </c>
      <c r="AA177" s="208">
        <v>4051008.14</v>
      </c>
    </row>
    <row r="178" spans="10:27" ht="15" customHeight="1" x14ac:dyDescent="0.25">
      <c r="J178" s="206" t="str">
        <f xml:space="preserve"> _xll.EPMOlapMemberO("[COSTCENTER].[PARENTH1].[1001]","","1001","","000")</f>
        <v>1001</v>
      </c>
      <c r="K178" s="210" t="str">
        <f xml:space="preserve"> _xll.EPMOlapMemberO("[C_ACCOUNT].[PARENTH1].[A_2340701]","","A_2340701","","000")</f>
        <v>A_2340701</v>
      </c>
      <c r="L178" s="208" t="str">
        <f>_xll.EPMMemberDesc(K178)</f>
        <v>Trade Payable-Intercompany (Posting)</v>
      </c>
      <c r="M178" s="208">
        <v>0</v>
      </c>
      <c r="N178" s="208">
        <v>0</v>
      </c>
      <c r="O178" s="208">
        <v>0</v>
      </c>
      <c r="P178" s="208">
        <v>127307.58</v>
      </c>
      <c r="Q178" s="208">
        <v>127307.58</v>
      </c>
      <c r="R178" s="208">
        <v>127307.58</v>
      </c>
      <c r="S178" s="208">
        <v>127307.58</v>
      </c>
      <c r="T178" s="208">
        <v>127307.58</v>
      </c>
      <c r="U178" s="208">
        <v>127307.58</v>
      </c>
      <c r="V178" s="208">
        <v>127307.58</v>
      </c>
      <c r="W178" s="208">
        <v>127307.58</v>
      </c>
      <c r="X178" s="208">
        <v>127307.58</v>
      </c>
      <c r="Y178" s="208">
        <v>127307.58</v>
      </c>
      <c r="Z178" s="208">
        <v>127307.58</v>
      </c>
      <c r="AA178" s="208">
        <v>127307.58</v>
      </c>
    </row>
    <row r="179" spans="10:27" ht="15" customHeight="1" x14ac:dyDescent="0.25">
      <c r="J179" s="206" t="str">
        <f xml:space="preserve"> _xll.EPMOlapMemberO("[COSTCENTER].[PARENTH1].[1001]","","1001","","000")</f>
        <v>1001</v>
      </c>
      <c r="K179" s="210" t="str">
        <f xml:space="preserve"> _xll.EPMOlapMemberO("[C_ACCOUNT].[PARENTH1].[A_2340711]","","A_2340711","","000")</f>
        <v>A_2340711</v>
      </c>
      <c r="L179" s="208" t="str">
        <f>_xll.EPMMemberDesc(K179)</f>
        <v>Trade Payable-Emera Intercompany (Posting)</v>
      </c>
      <c r="M179" s="208">
        <v>0</v>
      </c>
      <c r="N179" s="208">
        <v>0</v>
      </c>
      <c r="O179" s="208">
        <v>0</v>
      </c>
      <c r="P179" s="208">
        <v>13953909.93</v>
      </c>
      <c r="Q179" s="208">
        <v>13953909.93</v>
      </c>
      <c r="R179" s="208">
        <v>13953909.93</v>
      </c>
      <c r="S179" s="208">
        <v>13953909.93</v>
      </c>
      <c r="T179" s="208">
        <v>13953909.93</v>
      </c>
      <c r="U179" s="208">
        <v>13953909.93</v>
      </c>
      <c r="V179" s="208">
        <v>13953909.93</v>
      </c>
      <c r="W179" s="208">
        <v>13953909.93</v>
      </c>
      <c r="X179" s="208">
        <v>13953909.93</v>
      </c>
      <c r="Y179" s="208">
        <v>13953909.93</v>
      </c>
      <c r="Z179" s="208">
        <v>13953909.93</v>
      </c>
      <c r="AA179" s="208">
        <v>13953909.93</v>
      </c>
    </row>
    <row r="180" spans="10:27" ht="15" customHeight="1" x14ac:dyDescent="0.25">
      <c r="J180" s="206" t="str">
        <f xml:space="preserve"> _xll.EPMOlapMemberO("[COSTCENTER].[PARENTH1].[1001]","","1001","","000")</f>
        <v>1001</v>
      </c>
      <c r="K180" s="210" t="str">
        <f xml:space="preserve"> _xll.EPMOlapMemberO("[C_ACCOUNT].[PARENTH1].[A_2340799]","","A_2340799","","000")</f>
        <v>A_2340799</v>
      </c>
      <c r="L180" s="208" t="str">
        <f>_xll.EPMMemberDesc(K180)</f>
        <v>Trade Payable-Emera Interco Accruals/Reversals</v>
      </c>
      <c r="M180" s="208">
        <v>0</v>
      </c>
      <c r="N180" s="208">
        <v>0</v>
      </c>
      <c r="O180" s="208">
        <v>0</v>
      </c>
      <c r="P180" s="208">
        <v>360818.53</v>
      </c>
      <c r="Q180" s="208">
        <v>360818.53</v>
      </c>
      <c r="R180" s="208">
        <v>360818.53</v>
      </c>
      <c r="S180" s="208">
        <v>360818.53</v>
      </c>
      <c r="T180" s="208">
        <v>360818.53</v>
      </c>
      <c r="U180" s="208">
        <v>360818.53</v>
      </c>
      <c r="V180" s="208">
        <v>360818.53</v>
      </c>
      <c r="W180" s="208">
        <v>360818.53</v>
      </c>
      <c r="X180" s="208">
        <v>360818.53</v>
      </c>
      <c r="Y180" s="208">
        <v>360818.53</v>
      </c>
      <c r="Z180" s="208">
        <v>360818.53</v>
      </c>
      <c r="AA180" s="208">
        <v>360818.53</v>
      </c>
    </row>
    <row r="181" spans="10:27" ht="15" customHeight="1" x14ac:dyDescent="0.2">
      <c r="J181" s="202" t="str">
        <f xml:space="preserve"> _xll.EPMOlapMemberO("[COSTCENTER].[PARENTH1].[1001]","","1001","","000")</f>
        <v>1001</v>
      </c>
      <c r="K181" s="205" t="str">
        <f xml:space="preserve"> _xll.EPMOlapMemberO("[C_ACCOUNT].[PARENTH1].[CUSTOMER_DEPOSITS]","","CUSTOMER_DEPOSITS","","000")</f>
        <v>CUSTOMER_DEPOSITS</v>
      </c>
      <c r="L181" s="202" t="str">
        <f>_xll.EPMMemberDesc(K181)</f>
        <v>Customer Deposits</v>
      </c>
      <c r="M181" s="203">
        <v>0</v>
      </c>
      <c r="N181" s="203">
        <v>0</v>
      </c>
      <c r="O181" s="203">
        <v>0</v>
      </c>
      <c r="P181" s="203">
        <v>104753532.142176</v>
      </c>
      <c r="Q181" s="203">
        <v>104797179.447235</v>
      </c>
      <c r="R181" s="203">
        <v>104840844.93867201</v>
      </c>
      <c r="S181" s="203">
        <v>104884528.624063</v>
      </c>
      <c r="T181" s="203">
        <v>104928230.510989</v>
      </c>
      <c r="U181" s="203">
        <v>104971950.60703599</v>
      </c>
      <c r="V181" s="203">
        <v>105015688.919789</v>
      </c>
      <c r="W181" s="203">
        <v>105059445.456839</v>
      </c>
      <c r="X181" s="203">
        <v>105103220.225779</v>
      </c>
      <c r="Y181" s="203">
        <v>105147013.23420601</v>
      </c>
      <c r="Z181" s="203">
        <v>105190824.489721</v>
      </c>
      <c r="AA181" s="203">
        <v>105234653.999925</v>
      </c>
    </row>
    <row r="182" spans="10:27" ht="15" customHeight="1" x14ac:dyDescent="0.25">
      <c r="J182" s="206" t="str">
        <f xml:space="preserve"> _xll.EPMOlapMemberO("[COSTCENTER].[PARENTH1].[1001]","","1001","","000")</f>
        <v>1001</v>
      </c>
      <c r="K182" s="207" t="str">
        <f xml:space="preserve"> _xll.EPMOlapMemberO("[C_ACCOUNT].[PARENTH1].[A_2350100]","","A_2350100","","000")</f>
        <v>A_2350100</v>
      </c>
      <c r="L182" s="208" t="str">
        <f>_xll.EPMMemberDesc(K182)</f>
        <v>CIS Customer Deposits Short-term</v>
      </c>
      <c r="M182" s="208">
        <v>0</v>
      </c>
      <c r="N182" s="208">
        <v>0</v>
      </c>
      <c r="O182" s="208">
        <v>0</v>
      </c>
      <c r="P182" s="208">
        <v>104753532.142176</v>
      </c>
      <c r="Q182" s="208">
        <v>104797179.447235</v>
      </c>
      <c r="R182" s="208">
        <v>104840844.93867201</v>
      </c>
      <c r="S182" s="208">
        <v>104884528.624063</v>
      </c>
      <c r="T182" s="208">
        <v>104928230.510989</v>
      </c>
      <c r="U182" s="208">
        <v>104971950.60703599</v>
      </c>
      <c r="V182" s="208">
        <v>105015688.919789</v>
      </c>
      <c r="W182" s="208">
        <v>105059445.456839</v>
      </c>
      <c r="X182" s="208">
        <v>105103220.225779</v>
      </c>
      <c r="Y182" s="208">
        <v>105147013.23420601</v>
      </c>
      <c r="Z182" s="208">
        <v>105190824.489721</v>
      </c>
      <c r="AA182" s="208">
        <v>105234653.999925</v>
      </c>
    </row>
    <row r="183" spans="10:27" ht="15" customHeight="1" x14ac:dyDescent="0.2">
      <c r="J183" s="202" t="str">
        <f xml:space="preserve"> _xll.EPMOlapMemberO("[COSTCENTER].[PARENTH1].[1001]","","1001","","000")</f>
        <v>1001</v>
      </c>
      <c r="K183" s="205" t="str">
        <f xml:space="preserve"> _xll.EPMOlapMemberO("[C_ACCOUNT].[PARENTH1].[CUR_REG_LIA]","","CUR_REG_LIA","","000")</f>
        <v>CUR_REG_LIA</v>
      </c>
      <c r="L183" s="202" t="str">
        <f>_xll.EPMMemberDesc(K183)</f>
        <v>Current regulatory liabilities</v>
      </c>
      <c r="M183" s="203">
        <v>0</v>
      </c>
      <c r="N183" s="203">
        <v>0</v>
      </c>
      <c r="O183" s="203">
        <v>0</v>
      </c>
      <c r="P183" s="203">
        <v>32370424.420000002</v>
      </c>
      <c r="Q183" s="203">
        <v>30747920.420000002</v>
      </c>
      <c r="R183" s="203">
        <v>29070122.420000002</v>
      </c>
      <c r="S183" s="203">
        <v>27349658.420000002</v>
      </c>
      <c r="T183" s="203">
        <v>25997819.420000002</v>
      </c>
      <c r="U183" s="203">
        <v>25049302.420000002</v>
      </c>
      <c r="V183" s="203">
        <v>23782963.420000002</v>
      </c>
      <c r="W183" s="203">
        <v>22906876.420000002</v>
      </c>
      <c r="X183" s="203">
        <v>19679859.420000002</v>
      </c>
      <c r="Y183" s="203">
        <v>16747253.42</v>
      </c>
      <c r="Z183" s="203">
        <v>8733326.4199999999</v>
      </c>
      <c r="AA183" s="203">
        <v>8237823.4199999999</v>
      </c>
    </row>
    <row r="184" spans="10:27" ht="15" customHeight="1" x14ac:dyDescent="0.2">
      <c r="J184" s="202" t="str">
        <f xml:space="preserve"> _xll.EPMOlapMemberO("[COSTCENTER].[PARENTH1].[1001]","","1001","","000")</f>
        <v>1001</v>
      </c>
      <c r="K184" s="209" t="str">
        <f xml:space="preserve"> _xll.EPMOlapMemberO("[C_ACCOUNT].[PARENTH1].[DEF_REC_CL_C]","","DEF_REC_CL_C","","000")</f>
        <v>DEF_REC_CL_C</v>
      </c>
      <c r="L184" s="202" t="str">
        <f>_xll.EPMMemberDesc(K184)</f>
        <v>Deferred recovery clause - current</v>
      </c>
      <c r="M184" s="203">
        <v>0</v>
      </c>
      <c r="N184" s="203">
        <v>0</v>
      </c>
      <c r="O184" s="203">
        <v>0</v>
      </c>
      <c r="P184" s="203">
        <v>16641702</v>
      </c>
      <c r="Q184" s="203">
        <v>15014198</v>
      </c>
      <c r="R184" s="203">
        <v>13331400</v>
      </c>
      <c r="S184" s="203">
        <v>11605936</v>
      </c>
      <c r="T184" s="203">
        <v>10249097</v>
      </c>
      <c r="U184" s="203">
        <v>9295580</v>
      </c>
      <c r="V184" s="203">
        <v>8024241</v>
      </c>
      <c r="W184" s="203">
        <v>7143154</v>
      </c>
      <c r="X184" s="203">
        <v>3911137</v>
      </c>
      <c r="Y184" s="203">
        <v>973531</v>
      </c>
      <c r="Z184" s="203">
        <v>-7045396</v>
      </c>
      <c r="AA184" s="203">
        <v>-7545899</v>
      </c>
    </row>
    <row r="185" spans="10:27" ht="15" customHeight="1" x14ac:dyDescent="0.25">
      <c r="J185" s="206" t="str">
        <f xml:space="preserve"> _xll.EPMOlapMemberO("[COSTCENTER].[PARENTH1].[1001]","","1001","","000")</f>
        <v>1001</v>
      </c>
      <c r="K185" s="210" t="str">
        <f xml:space="preserve"> _xll.EPMOlapMemberO("[C_ACCOUNT].[PARENTH1].[A_2540020]","","A_2540020","","000")</f>
        <v>A_2540020</v>
      </c>
      <c r="L185" s="208" t="str">
        <f>_xll.EPMMemberDesc(K185)</f>
        <v>Oth Reg Liab-Fuel and Purchased Power Clause</v>
      </c>
      <c r="M185" s="208">
        <v>0</v>
      </c>
      <c r="N185" s="208">
        <v>0</v>
      </c>
      <c r="O185" s="208">
        <v>0</v>
      </c>
      <c r="P185" s="208">
        <v>0</v>
      </c>
      <c r="Q185" s="208">
        <v>0</v>
      </c>
      <c r="R185" s="208">
        <v>0</v>
      </c>
      <c r="S185" s="208">
        <v>0</v>
      </c>
      <c r="T185" s="208">
        <v>0</v>
      </c>
      <c r="U185" s="208">
        <v>0</v>
      </c>
      <c r="V185" s="208">
        <v>0</v>
      </c>
      <c r="W185" s="208">
        <v>0</v>
      </c>
      <c r="X185" s="208">
        <v>-2306139</v>
      </c>
      <c r="Y185" s="208">
        <v>-4606282</v>
      </c>
      <c r="Z185" s="208">
        <v>-11153521</v>
      </c>
      <c r="AA185" s="208">
        <v>-9822837</v>
      </c>
    </row>
    <row r="186" spans="10:27" ht="15" customHeight="1" x14ac:dyDescent="0.25">
      <c r="J186" s="206" t="str">
        <f xml:space="preserve"> _xll.EPMOlapMemberO("[COSTCENTER].[PARENTH1].[1001]","","1001","","000")</f>
        <v>1001</v>
      </c>
      <c r="K186" s="210" t="str">
        <f xml:space="preserve"> _xll.EPMOlapMemberO("[C_ACCOUNT].[PARENTH1].[A_2540040]","","A_2540040","","000")</f>
        <v>A_2540040</v>
      </c>
      <c r="L186" s="208" t="str">
        <f>_xll.EPMMemberDesc(K186)</f>
        <v>Oth Reg Liab-Conservation Clause</v>
      </c>
      <c r="M186" s="208">
        <v>0</v>
      </c>
      <c r="N186" s="208">
        <v>0</v>
      </c>
      <c r="O186" s="208">
        <v>0</v>
      </c>
      <c r="P186" s="208">
        <v>16641702</v>
      </c>
      <c r="Q186" s="208">
        <v>15014198</v>
      </c>
      <c r="R186" s="208">
        <v>13331400</v>
      </c>
      <c r="S186" s="208">
        <v>11605936</v>
      </c>
      <c r="T186" s="208">
        <v>10249097</v>
      </c>
      <c r="U186" s="208">
        <v>9295580</v>
      </c>
      <c r="V186" s="208">
        <v>8024241</v>
      </c>
      <c r="W186" s="208">
        <v>7143154</v>
      </c>
      <c r="X186" s="208">
        <v>6217276</v>
      </c>
      <c r="Y186" s="208">
        <v>5152400</v>
      </c>
      <c r="Z186" s="208">
        <v>3686469</v>
      </c>
      <c r="AA186" s="208">
        <v>2055426</v>
      </c>
    </row>
    <row r="187" spans="10:27" ht="15" customHeight="1" x14ac:dyDescent="0.25">
      <c r="J187" s="206" t="str">
        <f xml:space="preserve"> _xll.EPMOlapMemberO("[COSTCENTER].[PARENTH1].[1001]","","1001","","000")</f>
        <v>1001</v>
      </c>
      <c r="K187" s="210" t="str">
        <f xml:space="preserve"> _xll.EPMOlapMemberO("[C_ACCOUNT].[PARENTH1].[A_2540050]","","A_2540050","","000")</f>
        <v>A_2540050</v>
      </c>
      <c r="L187" s="208" t="str">
        <f>_xll.EPMMemberDesc(K187)</f>
        <v>Oth Reg Liab-Environmental Clause</v>
      </c>
      <c r="M187" s="208">
        <v>0</v>
      </c>
      <c r="N187" s="208">
        <v>0</v>
      </c>
      <c r="O187" s="208">
        <v>0</v>
      </c>
      <c r="P187" s="208">
        <v>0</v>
      </c>
      <c r="Q187" s="208">
        <v>0</v>
      </c>
      <c r="R187" s="208">
        <v>0</v>
      </c>
      <c r="S187" s="208">
        <v>0</v>
      </c>
      <c r="T187" s="208">
        <v>0</v>
      </c>
      <c r="U187" s="208">
        <v>0</v>
      </c>
      <c r="V187" s="208">
        <v>0</v>
      </c>
      <c r="W187" s="208">
        <v>0</v>
      </c>
      <c r="X187" s="208">
        <v>0</v>
      </c>
      <c r="Y187" s="208">
        <v>427413</v>
      </c>
      <c r="Z187" s="208">
        <v>421656</v>
      </c>
      <c r="AA187" s="208">
        <v>221512</v>
      </c>
    </row>
    <row r="188" spans="10:27" ht="15" customHeight="1" x14ac:dyDescent="0.2">
      <c r="J188" s="202" t="str">
        <f xml:space="preserve"> _xll.EPMOlapMemberO("[COSTCENTER].[PARENTH1].[1001]","","1001","","000")</f>
        <v>1001</v>
      </c>
      <c r="K188" s="209" t="str">
        <f xml:space="preserve"> _xll.EPMOlapMemberO("[C_ACCOUNT].[PARENTH1].[OTH_REG_LIA_C]","","OTH_REG_LIA_C","","000")</f>
        <v>OTH_REG_LIA_C</v>
      </c>
      <c r="L188" s="202" t="str">
        <f>_xll.EPMMemberDesc(K188)</f>
        <v>Other regulatory liabilities - current</v>
      </c>
      <c r="M188" s="203">
        <v>0</v>
      </c>
      <c r="N188" s="203">
        <v>0</v>
      </c>
      <c r="O188" s="203">
        <v>0</v>
      </c>
      <c r="P188" s="203">
        <v>15728722.42</v>
      </c>
      <c r="Q188" s="203">
        <v>15733722.42</v>
      </c>
      <c r="R188" s="203">
        <v>15738722.42</v>
      </c>
      <c r="S188" s="203">
        <v>15743722.42</v>
      </c>
      <c r="T188" s="203">
        <v>15748722.42</v>
      </c>
      <c r="U188" s="203">
        <v>15753722.42</v>
      </c>
      <c r="V188" s="203">
        <v>15758722.42</v>
      </c>
      <c r="W188" s="203">
        <v>15763722.42</v>
      </c>
      <c r="X188" s="203">
        <v>15768722.42</v>
      </c>
      <c r="Y188" s="203">
        <v>15773722.42</v>
      </c>
      <c r="Z188" s="203">
        <v>15778722.42</v>
      </c>
      <c r="AA188" s="203">
        <v>15783722.42</v>
      </c>
    </row>
    <row r="189" spans="10:27" ht="15" customHeight="1" x14ac:dyDescent="0.25">
      <c r="J189" s="206" t="str">
        <f xml:space="preserve"> _xll.EPMOlapMemberO("[COSTCENTER].[PARENTH1].[1001]","","1001","","000")</f>
        <v>1001</v>
      </c>
      <c r="K189" s="210" t="str">
        <f xml:space="preserve"> _xll.EPMOlapMemberO("[C_ACCOUNT].[PARENTH1].[A_1080110]","","A_1080110","","000")</f>
        <v>A_1080110</v>
      </c>
      <c r="L189" s="208" t="str">
        <f>_xll.EPMMemberDesc(K189)</f>
        <v>Accum Reserve Cost of Removal Contra- Current</v>
      </c>
      <c r="M189" s="208">
        <v>0</v>
      </c>
      <c r="N189" s="208">
        <v>0</v>
      </c>
      <c r="O189" s="208">
        <v>0</v>
      </c>
      <c r="P189" s="208">
        <v>15728722.42</v>
      </c>
      <c r="Q189" s="208">
        <v>15733722.42</v>
      </c>
      <c r="R189" s="208">
        <v>15738722.42</v>
      </c>
      <c r="S189" s="208">
        <v>15743722.42</v>
      </c>
      <c r="T189" s="208">
        <v>15748722.42</v>
      </c>
      <c r="U189" s="208">
        <v>15753722.42</v>
      </c>
      <c r="V189" s="208">
        <v>15758722.42</v>
      </c>
      <c r="W189" s="208">
        <v>15763722.42</v>
      </c>
      <c r="X189" s="208">
        <v>15768722.42</v>
      </c>
      <c r="Y189" s="208">
        <v>15773722.42</v>
      </c>
      <c r="Z189" s="208">
        <v>15778722.42</v>
      </c>
      <c r="AA189" s="208">
        <v>15783722.42</v>
      </c>
    </row>
    <row r="190" spans="10:27" ht="15" customHeight="1" x14ac:dyDescent="0.2">
      <c r="J190" s="202" t="str">
        <f xml:space="preserve"> _xll.EPMOlapMemberO("[COSTCENTER].[PARENTH1].[1001]","","1001","","000")</f>
        <v>1001</v>
      </c>
      <c r="K190" s="205" t="str">
        <f xml:space="preserve"> _xll.EPMOlapMemberO("[C_ACCOUNT].[PARENTH1].[INTEREST_ACCRUED]","","INTEREST_ACCRUED","","000")</f>
        <v>INTEREST_ACCRUED</v>
      </c>
      <c r="L190" s="202" t="str">
        <f>_xll.EPMMemberDesc(K190)</f>
        <v>Interest accrued</v>
      </c>
      <c r="M190" s="203">
        <v>0</v>
      </c>
      <c r="N190" s="203">
        <v>0</v>
      </c>
      <c r="O190" s="203">
        <v>0</v>
      </c>
      <c r="P190" s="203">
        <v>22830686.470004302</v>
      </c>
      <c r="Q190" s="203">
        <v>33431069.2041413</v>
      </c>
      <c r="R190" s="203">
        <v>41072964.315213397</v>
      </c>
      <c r="S190" s="203">
        <v>51670725.199919201</v>
      </c>
      <c r="T190" s="203">
        <v>30751884.189972699</v>
      </c>
      <c r="U190" s="203">
        <v>12324387.8721033</v>
      </c>
      <c r="V190" s="203">
        <v>23030010.561388899</v>
      </c>
      <c r="W190" s="203">
        <v>33677675.644589499</v>
      </c>
      <c r="X190" s="203">
        <v>41393121.070147</v>
      </c>
      <c r="Y190" s="203">
        <v>52062665.784851797</v>
      </c>
      <c r="Z190" s="203">
        <v>37629030.473843202</v>
      </c>
      <c r="AA190" s="203">
        <v>11278399.5387109</v>
      </c>
    </row>
    <row r="191" spans="10:27" ht="15" customHeight="1" x14ac:dyDescent="0.2">
      <c r="J191" s="202" t="str">
        <f xml:space="preserve"> _xll.EPMOlapMemberO("[COSTCENTER].[PARENTH1].[1001]","","1001","","000")</f>
        <v>1001</v>
      </c>
      <c r="K191" s="209" t="str">
        <f xml:space="preserve"> _xll.EPMOlapMemberO("[C_ACCOUNT].[PARENTH1].[INTEREST_PAYABLE_IC]","","Interest_Payable_IC","","000")</f>
        <v>Interest_Payable_IC</v>
      </c>
      <c r="L191" s="202" t="str">
        <f>_xll.EPMMemberDesc(K191)</f>
        <v>Interest payable</v>
      </c>
      <c r="M191" s="203">
        <v>0</v>
      </c>
      <c r="N191" s="203">
        <v>0</v>
      </c>
      <c r="O191" s="203">
        <v>0</v>
      </c>
      <c r="P191" s="203">
        <v>22830686.470004302</v>
      </c>
      <c r="Q191" s="203">
        <v>33431069.2041413</v>
      </c>
      <c r="R191" s="203">
        <v>41072964.315213397</v>
      </c>
      <c r="S191" s="203">
        <v>51670725.199919201</v>
      </c>
      <c r="T191" s="203">
        <v>30751884.189972699</v>
      </c>
      <c r="U191" s="203">
        <v>12324387.8721033</v>
      </c>
      <c r="V191" s="203">
        <v>23030010.561388899</v>
      </c>
      <c r="W191" s="203">
        <v>33677675.644589499</v>
      </c>
      <c r="X191" s="203">
        <v>41393121.070147</v>
      </c>
      <c r="Y191" s="203">
        <v>52062665.784851797</v>
      </c>
      <c r="Z191" s="203">
        <v>37629030.473843202</v>
      </c>
      <c r="AA191" s="203">
        <v>11278399.5387109</v>
      </c>
    </row>
    <row r="192" spans="10:27" ht="15" customHeight="1" x14ac:dyDescent="0.25">
      <c r="J192" s="206" t="str">
        <f xml:space="preserve"> _xll.EPMOlapMemberO("[COSTCENTER].[PARENTH1].[1001]","","1001","","000")</f>
        <v>1001</v>
      </c>
      <c r="K192" s="210" t="str">
        <f xml:space="preserve"> _xll.EPMOlapMemberO("[C_ACCOUNT].[PARENTH1].[A_2370300]","","A_2370300","","000")</f>
        <v>A_2370300</v>
      </c>
      <c r="L192" s="208" t="str">
        <f>_xll.EPMMemberDesc(K192)</f>
        <v>Interest Accrued on Customer Deposits</v>
      </c>
      <c r="M192" s="208">
        <v>0</v>
      </c>
      <c r="N192" s="208">
        <v>0</v>
      </c>
      <c r="O192" s="208">
        <v>0</v>
      </c>
      <c r="P192" s="208">
        <v>280975.13828999997</v>
      </c>
      <c r="Q192" s="208">
        <v>476613.50242700003</v>
      </c>
      <c r="R192" s="208">
        <v>672339.94349910005</v>
      </c>
      <c r="S192" s="208">
        <v>868154.49820489995</v>
      </c>
      <c r="T192" s="208">
        <v>1064057.2032584001</v>
      </c>
      <c r="U192" s="208">
        <v>1260048.0953889999</v>
      </c>
      <c r="V192" s="208">
        <v>1456127.2113413</v>
      </c>
      <c r="W192" s="208">
        <v>1652294.5878752</v>
      </c>
      <c r="X192" s="208">
        <v>1848550.261766</v>
      </c>
      <c r="Y192" s="208">
        <v>2044894.2698041999</v>
      </c>
      <c r="Z192" s="208">
        <v>2241326.6487956</v>
      </c>
      <c r="AA192" s="208">
        <v>85852.918663300006</v>
      </c>
    </row>
    <row r="193" spans="10:27" ht="15" customHeight="1" x14ac:dyDescent="0.25">
      <c r="J193" s="206" t="str">
        <f xml:space="preserve"> _xll.EPMOlapMemberO("[COSTCENTER].[PARENTH1].[1001]","","1001","","000")</f>
        <v>1001</v>
      </c>
      <c r="K193" s="210" t="str">
        <f xml:space="preserve"> _xll.EPMOlapMemberO("[C_ACCOUNT].[PARENTH1].[A_2370350]","","A_2370350","","000")</f>
        <v>A_2370350</v>
      </c>
      <c r="L193" s="208" t="str">
        <f>_xll.EPMMemberDesc(K193)</f>
        <v>Interest Accrued on Credit Facility</v>
      </c>
      <c r="M193" s="208">
        <v>0</v>
      </c>
      <c r="N193" s="208">
        <v>0</v>
      </c>
      <c r="O193" s="208">
        <v>0</v>
      </c>
      <c r="P193" s="208">
        <v>284953.09999999998</v>
      </c>
      <c r="Q193" s="208">
        <v>315845.09999999998</v>
      </c>
      <c r="R193" s="208">
        <v>331038.09999999998</v>
      </c>
      <c r="S193" s="208">
        <v>358721.1</v>
      </c>
      <c r="T193" s="208">
        <v>241162.1</v>
      </c>
      <c r="U193" s="208">
        <v>164477.1</v>
      </c>
      <c r="V193" s="208">
        <v>194421.63333330001</v>
      </c>
      <c r="W193" s="208">
        <v>166320.29999999999</v>
      </c>
      <c r="X193" s="208">
        <v>150020.5916667</v>
      </c>
      <c r="Y193" s="208">
        <v>143622.25833330001</v>
      </c>
      <c r="Z193" s="208">
        <v>201661.00833330001</v>
      </c>
      <c r="AA193" s="208">
        <v>292478.38333330001</v>
      </c>
    </row>
    <row r="194" spans="10:27" ht="15" customHeight="1" x14ac:dyDescent="0.25">
      <c r="J194" s="206" t="str">
        <f xml:space="preserve"> _xll.EPMOlapMemberO("[COSTCENTER].[PARENTH1].[1001]","","1001","","000")</f>
        <v>1001</v>
      </c>
      <c r="K194" s="210" t="str">
        <f xml:space="preserve"> _xll.EPMOlapMemberO("[C_ACCOUNT].[PARENTH1].[A_2370400]","","A_2370400","","000")</f>
        <v>A_2370400</v>
      </c>
      <c r="L194" s="208" t="str">
        <f>_xll.EPMMemberDesc(K194)</f>
        <v>Interest Accrued Long Term Debt</v>
      </c>
      <c r="M194" s="208">
        <v>0</v>
      </c>
      <c r="N194" s="208">
        <v>0</v>
      </c>
      <c r="O194" s="208">
        <v>0</v>
      </c>
      <c r="P194" s="208">
        <v>22264758.231714301</v>
      </c>
      <c r="Q194" s="208">
        <v>32638610.601714302</v>
      </c>
      <c r="R194" s="208">
        <v>40069586.2717143</v>
      </c>
      <c r="S194" s="208">
        <v>50443849.601714298</v>
      </c>
      <c r="T194" s="208">
        <v>29446664.886714298</v>
      </c>
      <c r="U194" s="208">
        <v>10899862.676714299</v>
      </c>
      <c r="V194" s="208">
        <v>21379461.7167143</v>
      </c>
      <c r="W194" s="208">
        <v>31859060.756714299</v>
      </c>
      <c r="X194" s="208">
        <v>39394550.2167143</v>
      </c>
      <c r="Y194" s="208">
        <v>49874149.256714299</v>
      </c>
      <c r="Z194" s="208">
        <v>35186042.816714302</v>
      </c>
      <c r="AA194" s="208">
        <v>10900068.2367143</v>
      </c>
    </row>
    <row r="195" spans="10:27" ht="15" customHeight="1" x14ac:dyDescent="0.2">
      <c r="J195" s="202" t="str">
        <f xml:space="preserve"> _xll.EPMOlapMemberO("[COSTCENTER].[PARENTH1].[1001]","","1001","","000")</f>
        <v>1001</v>
      </c>
      <c r="K195" s="205" t="str">
        <f xml:space="preserve"> _xll.EPMOlapMemberO("[C_ACCOUNT].[PARENTH1].[TAXES_ACCRUED]","","TAXES_ACCRUED","","000")</f>
        <v>TAXES_ACCRUED</v>
      </c>
      <c r="L195" s="202" t="str">
        <f>_xll.EPMMemberDesc(K195)</f>
        <v>Taxes accrued</v>
      </c>
      <c r="M195" s="203">
        <v>0</v>
      </c>
      <c r="N195" s="203">
        <v>0</v>
      </c>
      <c r="O195" s="203">
        <v>0</v>
      </c>
      <c r="P195" s="203">
        <v>11416233.308151601</v>
      </c>
      <c r="Q195" s="203">
        <v>7804701.0232213996</v>
      </c>
      <c r="R195" s="203">
        <v>11172758.4754426</v>
      </c>
      <c r="S195" s="203">
        <v>11393032.981367299</v>
      </c>
      <c r="T195" s="203">
        <v>20400798.147674799</v>
      </c>
      <c r="U195" s="203">
        <v>29447331.648014698</v>
      </c>
      <c r="V195" s="203">
        <v>42069389.979545601</v>
      </c>
      <c r="W195" s="203">
        <v>55076167.552430503</v>
      </c>
      <c r="X195" s="203">
        <v>64754423.288770102</v>
      </c>
      <c r="Y195" s="203">
        <v>73036306.567098796</v>
      </c>
      <c r="Z195" s="203">
        <v>7528423.7720547002</v>
      </c>
      <c r="AA195" s="203">
        <v>8516304.6515593007</v>
      </c>
    </row>
    <row r="196" spans="10:27" ht="15" customHeight="1" x14ac:dyDescent="0.2">
      <c r="J196" s="202" t="str">
        <f xml:space="preserve"> _xll.EPMOlapMemberO("[COSTCENTER].[PARENTH1].[1001]","","1001","","000")</f>
        <v>1001</v>
      </c>
      <c r="K196" s="209" t="str">
        <f xml:space="preserve"> _xll.EPMOlapMemberO("[C_ACCOUNT].[PARENTH1].[TAXES_ACC_FED]","","TAXES_ACC_FED","","000")</f>
        <v>TAXES_ACC_FED</v>
      </c>
      <c r="L196" s="202" t="str">
        <f>_xll.EPMMemberDesc(K196)</f>
        <v>Taxes accrued - Federal</v>
      </c>
      <c r="M196" s="203">
        <v>0</v>
      </c>
      <c r="N196" s="203">
        <v>0</v>
      </c>
      <c r="O196" s="203">
        <v>0</v>
      </c>
      <c r="P196" s="203">
        <v>-3001986.5605155998</v>
      </c>
      <c r="Q196" s="203">
        <v>-11684516.696531201</v>
      </c>
      <c r="R196" s="203">
        <v>-14126353.0059532</v>
      </c>
      <c r="S196" s="203">
        <v>-19640837.2184688</v>
      </c>
      <c r="T196" s="203">
        <v>-17291423.969084401</v>
      </c>
      <c r="U196" s="203">
        <v>-15443734.3332</v>
      </c>
      <c r="V196" s="203">
        <v>-8507442.7857156005</v>
      </c>
      <c r="W196" s="203">
        <v>-1373935.1226311999</v>
      </c>
      <c r="X196" s="203">
        <v>1939845.2422531999</v>
      </c>
      <c r="Y196" s="203">
        <v>5228117.3563312003</v>
      </c>
      <c r="Z196" s="203">
        <v>4796167.2645156002</v>
      </c>
      <c r="AA196" s="203">
        <v>-0.59876180000000001</v>
      </c>
    </row>
    <row r="197" spans="10:27" ht="15" customHeight="1" x14ac:dyDescent="0.25">
      <c r="J197" s="206" t="str">
        <f xml:space="preserve"> _xll.EPMOlapMemberO("[COSTCENTER].[PARENTH1].[1001]","","1001","","000")</f>
        <v>1001</v>
      </c>
      <c r="K197" s="210" t="str">
        <f xml:space="preserve"> _xll.EPMOlapMemberO("[C_ACCOUNT].[PARENTH1].[A_2360310]","","A_2360310","","000")</f>
        <v>A_2360310</v>
      </c>
      <c r="L197" s="208" t="str">
        <f>_xll.EPMMemberDesc(K197)</f>
        <v>Income Tax Pay - Federal Current Year</v>
      </c>
      <c r="M197" s="208">
        <v>0</v>
      </c>
      <c r="N197" s="208">
        <v>0</v>
      </c>
      <c r="O197" s="208">
        <v>0</v>
      </c>
      <c r="P197" s="208">
        <v>-3001986.5605155998</v>
      </c>
      <c r="Q197" s="208">
        <v>-11684516.696531201</v>
      </c>
      <c r="R197" s="208">
        <v>-14126353.0059532</v>
      </c>
      <c r="S197" s="208">
        <v>-19640837.2184688</v>
      </c>
      <c r="T197" s="208">
        <v>-17291423.969084401</v>
      </c>
      <c r="U197" s="208">
        <v>-15443734.3332</v>
      </c>
      <c r="V197" s="208">
        <v>-8507442.7857156005</v>
      </c>
      <c r="W197" s="208">
        <v>-1373935.1226311999</v>
      </c>
      <c r="X197" s="208">
        <v>1939845.2422531999</v>
      </c>
      <c r="Y197" s="208">
        <v>5228117.3563312003</v>
      </c>
      <c r="Z197" s="208">
        <v>4796167.2645156002</v>
      </c>
      <c r="AA197" s="208">
        <v>-0.59876180000000001</v>
      </c>
    </row>
    <row r="198" spans="10:27" ht="15" customHeight="1" x14ac:dyDescent="0.2">
      <c r="J198" s="202" t="str">
        <f xml:space="preserve"> _xll.EPMOlapMemberO("[COSTCENTER].[PARENTH1].[1001]","","1001","","000")</f>
        <v>1001</v>
      </c>
      <c r="K198" s="209" t="str">
        <f xml:space="preserve"> _xll.EPMOlapMemberO("[C_ACCOUNT].[PARENTH1].[TAXES_ACC_ST]","","TAXES_ACC_ST","","000")</f>
        <v>TAXES_ACC_ST</v>
      </c>
      <c r="L198" s="202" t="str">
        <f>_xll.EPMMemberDesc(K198)</f>
        <v>Taxes accrued - State</v>
      </c>
      <c r="M198" s="203">
        <v>0</v>
      </c>
      <c r="N198" s="203">
        <v>0</v>
      </c>
      <c r="O198" s="203">
        <v>0</v>
      </c>
      <c r="P198" s="203">
        <v>512354.00007429998</v>
      </c>
      <c r="Q198" s="203">
        <v>512354.00014860003</v>
      </c>
      <c r="R198" s="203">
        <v>512353.99977709999</v>
      </c>
      <c r="S198" s="203">
        <v>0.99985139999999995</v>
      </c>
      <c r="T198" s="203">
        <v>0.99992570000000003</v>
      </c>
      <c r="U198" s="203">
        <v>0</v>
      </c>
      <c r="V198" s="203">
        <v>7.4300000000000004E-5</v>
      </c>
      <c r="W198" s="203">
        <v>1.4860000000000001E-4</v>
      </c>
      <c r="X198" s="203">
        <v>2.229E-4</v>
      </c>
      <c r="Y198" s="203">
        <v>-1.4860000000000001E-4</v>
      </c>
      <c r="Z198" s="203">
        <v>-7.4300000000000004E-5</v>
      </c>
      <c r="AA198" s="203">
        <v>4.4580000000000002E-2</v>
      </c>
    </row>
    <row r="199" spans="10:27" ht="15" customHeight="1" x14ac:dyDescent="0.25">
      <c r="J199" s="206" t="str">
        <f xml:space="preserve"> _xll.EPMOlapMemberO("[COSTCENTER].[PARENTH1].[1001]","","1001","","000")</f>
        <v>1001</v>
      </c>
      <c r="K199" s="210" t="str">
        <f xml:space="preserve"> _xll.EPMOlapMemberO("[C_ACCOUNT].[PARENTH1].[A_2360410]","","A_2360410","","000")</f>
        <v>A_2360410</v>
      </c>
      <c r="L199" s="208" t="str">
        <f>_xll.EPMMemberDesc(K199)</f>
        <v>Income Tax Pay - State Current Year</v>
      </c>
      <c r="M199" s="208">
        <v>0</v>
      </c>
      <c r="N199" s="208">
        <v>0</v>
      </c>
      <c r="O199" s="208">
        <v>0</v>
      </c>
      <c r="P199" s="208">
        <v>512354.00007429998</v>
      </c>
      <c r="Q199" s="208">
        <v>512354.00014860003</v>
      </c>
      <c r="R199" s="208">
        <v>512353.99977709999</v>
      </c>
      <c r="S199" s="208">
        <v>0.99985139999999995</v>
      </c>
      <c r="T199" s="208">
        <v>0.99992570000000003</v>
      </c>
      <c r="U199" s="208">
        <v>0</v>
      </c>
      <c r="V199" s="208">
        <v>7.4300000000000004E-5</v>
      </c>
      <c r="W199" s="208">
        <v>1.4860000000000001E-4</v>
      </c>
      <c r="X199" s="208">
        <v>2.229E-4</v>
      </c>
      <c r="Y199" s="208">
        <v>-1.4860000000000001E-4</v>
      </c>
      <c r="Z199" s="208">
        <v>-7.4300000000000004E-5</v>
      </c>
      <c r="AA199" s="208">
        <v>4.4580000000000002E-2</v>
      </c>
    </row>
    <row r="200" spans="10:27" ht="15" customHeight="1" x14ac:dyDescent="0.2">
      <c r="J200" s="202" t="str">
        <f xml:space="preserve"> _xll.EPMOlapMemberO("[COSTCENTER].[PARENTH1].[1001]","","1001","","000")</f>
        <v>1001</v>
      </c>
      <c r="K200" s="209" t="str">
        <f xml:space="preserve"> _xll.EPMOlapMemberO("[C_ACCOUNT].[PARENTH1].[TAXES_ACC_OTH]","","TAXES_ACC_OTH","","000")</f>
        <v>TAXES_ACC_OTH</v>
      </c>
      <c r="L200" s="202" t="str">
        <f>_xll.EPMMemberDesc(K200)</f>
        <v>Taxes accrued - Other</v>
      </c>
      <c r="M200" s="203">
        <v>0</v>
      </c>
      <c r="N200" s="203">
        <v>0</v>
      </c>
      <c r="O200" s="203">
        <v>0</v>
      </c>
      <c r="P200" s="203">
        <v>13905865.868592899</v>
      </c>
      <c r="Q200" s="203">
        <v>18976863.719604</v>
      </c>
      <c r="R200" s="203">
        <v>24786757.481618699</v>
      </c>
      <c r="S200" s="203">
        <v>31033869.199984699</v>
      </c>
      <c r="T200" s="203">
        <v>37692221.116833501</v>
      </c>
      <c r="U200" s="203">
        <v>44891065.981214702</v>
      </c>
      <c r="V200" s="203">
        <v>50576832.765186898</v>
      </c>
      <c r="W200" s="203">
        <v>56450102.674913101</v>
      </c>
      <c r="X200" s="203">
        <v>62814578.046294004</v>
      </c>
      <c r="Y200" s="203">
        <v>67808189.210916206</v>
      </c>
      <c r="Z200" s="203">
        <v>2732256.5076134</v>
      </c>
      <c r="AA200" s="203">
        <v>8516305.2057411</v>
      </c>
    </row>
    <row r="201" spans="10:27" ht="15" customHeight="1" x14ac:dyDescent="0.25">
      <c r="J201" s="206" t="str">
        <f xml:space="preserve"> _xll.EPMOlapMemberO("[COSTCENTER].[PARENTH1].[1001]","","1001","","000")</f>
        <v>1001</v>
      </c>
      <c r="K201" s="210" t="str">
        <f xml:space="preserve"> _xll.EPMOlapMemberO("[C_ACCOUNT].[PARENTH1].[A_2360600]","","A_2360600","","000")</f>
        <v>A_2360600</v>
      </c>
      <c r="L201" s="208" t="str">
        <f>_xll.EPMMemberDesc(K201)</f>
        <v>Taxes Payable - Unemployment - Federal</v>
      </c>
      <c r="M201" s="208">
        <v>0</v>
      </c>
      <c r="N201" s="208">
        <v>0</v>
      </c>
      <c r="O201" s="208">
        <v>0</v>
      </c>
      <c r="P201" s="208">
        <v>95000</v>
      </c>
      <c r="Q201" s="208">
        <v>5000</v>
      </c>
      <c r="R201" s="208">
        <v>0</v>
      </c>
      <c r="S201" s="208">
        <v>0</v>
      </c>
      <c r="T201" s="208">
        <v>0</v>
      </c>
      <c r="U201" s="208">
        <v>0</v>
      </c>
      <c r="V201" s="208">
        <v>0</v>
      </c>
      <c r="W201" s="208">
        <v>0</v>
      </c>
      <c r="X201" s="208">
        <v>0</v>
      </c>
      <c r="Y201" s="208">
        <v>0</v>
      </c>
      <c r="Z201" s="208">
        <v>0</v>
      </c>
      <c r="AA201" s="208">
        <v>0</v>
      </c>
    </row>
    <row r="202" spans="10:27" ht="15" customHeight="1" x14ac:dyDescent="0.25">
      <c r="J202" s="206" t="str">
        <f xml:space="preserve"> _xll.EPMOlapMemberO("[COSTCENTER].[PARENTH1].[1001]","","1001","","000")</f>
        <v>1001</v>
      </c>
      <c r="K202" s="210" t="str">
        <f xml:space="preserve"> _xll.EPMOlapMemberO("[C_ACCOUNT].[PARENTH1].[A_2360601]","","A_2360601","","000")</f>
        <v>A_2360601</v>
      </c>
      <c r="L202" s="208" t="str">
        <f>_xll.EPMMemberDesc(K202)</f>
        <v>Taxes Payable - Unemployment - State</v>
      </c>
      <c r="M202" s="208">
        <v>0</v>
      </c>
      <c r="N202" s="208">
        <v>0</v>
      </c>
      <c r="O202" s="208">
        <v>0</v>
      </c>
      <c r="P202" s="208">
        <v>12000</v>
      </c>
      <c r="Q202" s="208">
        <v>4000</v>
      </c>
      <c r="R202" s="208">
        <v>0</v>
      </c>
      <c r="S202" s="208">
        <v>0</v>
      </c>
      <c r="T202" s="208">
        <v>0</v>
      </c>
      <c r="U202" s="208">
        <v>0</v>
      </c>
      <c r="V202" s="208">
        <v>0</v>
      </c>
      <c r="W202" s="208">
        <v>0</v>
      </c>
      <c r="X202" s="208">
        <v>0</v>
      </c>
      <c r="Y202" s="208">
        <v>0</v>
      </c>
      <c r="Z202" s="208">
        <v>0</v>
      </c>
      <c r="AA202" s="208">
        <v>0</v>
      </c>
    </row>
    <row r="203" spans="10:27" ht="15" customHeight="1" x14ac:dyDescent="0.25">
      <c r="J203" s="206" t="str">
        <f xml:space="preserve"> _xll.EPMOlapMemberO("[COSTCENTER].[PARENTH1].[1001]","","1001","","000")</f>
        <v>1001</v>
      </c>
      <c r="K203" s="210" t="str">
        <f xml:space="preserve"> _xll.EPMOlapMemberO("[C_ACCOUNT].[PARENTH1].[A_2360602]","","A_2360602","","000")</f>
        <v>A_2360602</v>
      </c>
      <c r="L203" s="208" t="str">
        <f>_xll.EPMMemberDesc(K203)</f>
        <v>Taxes Payable - Regulatory Assessment Fee</v>
      </c>
      <c r="M203" s="208">
        <v>0</v>
      </c>
      <c r="N203" s="208">
        <v>0</v>
      </c>
      <c r="O203" s="208">
        <v>0</v>
      </c>
      <c r="P203" s="208">
        <v>107000</v>
      </c>
      <c r="Q203" s="208">
        <v>207000</v>
      </c>
      <c r="R203" s="208">
        <v>305000</v>
      </c>
      <c r="S203" s="208">
        <v>408000</v>
      </c>
      <c r="T203" s="208">
        <v>522000</v>
      </c>
      <c r="U203" s="208">
        <v>654000</v>
      </c>
      <c r="V203" s="208">
        <v>138000</v>
      </c>
      <c r="W203" s="208">
        <v>275000</v>
      </c>
      <c r="X203" s="208">
        <v>418000</v>
      </c>
      <c r="Y203" s="208">
        <v>548000</v>
      </c>
      <c r="Z203" s="208">
        <v>658000</v>
      </c>
      <c r="AA203" s="208">
        <v>762000</v>
      </c>
    </row>
    <row r="204" spans="10:27" ht="15" customHeight="1" x14ac:dyDescent="0.25">
      <c r="J204" s="206" t="str">
        <f xml:space="preserve"> _xll.EPMOlapMemberO("[COSTCENTER].[PARENTH1].[1001]","","1001","","000")</f>
        <v>1001</v>
      </c>
      <c r="K204" s="210" t="str">
        <f xml:space="preserve"> _xll.EPMOlapMemberO("[C_ACCOUNT].[PARENTH1].[A_2360603]","","A_2360603","","000")</f>
        <v>A_2360603</v>
      </c>
      <c r="L204" s="208" t="str">
        <f>_xll.EPMMemberDesc(K204)</f>
        <v>Taxes Payable - Gross Receipts Tax</v>
      </c>
      <c r="M204" s="208">
        <v>0</v>
      </c>
      <c r="N204" s="208">
        <v>0</v>
      </c>
      <c r="O204" s="208">
        <v>0</v>
      </c>
      <c r="P204" s="208">
        <v>3614000</v>
      </c>
      <c r="Q204" s="208">
        <v>3354000</v>
      </c>
      <c r="R204" s="208">
        <v>3292000</v>
      </c>
      <c r="S204" s="208">
        <v>3468000</v>
      </c>
      <c r="T204" s="208">
        <v>3853000</v>
      </c>
      <c r="U204" s="208">
        <v>4484000</v>
      </c>
      <c r="V204" s="208">
        <v>4682000</v>
      </c>
      <c r="W204" s="208">
        <v>4650000</v>
      </c>
      <c r="X204" s="208">
        <v>4856000</v>
      </c>
      <c r="Y204" s="208">
        <v>4397000</v>
      </c>
      <c r="Z204" s="208">
        <v>3689000</v>
      </c>
      <c r="AA204" s="208">
        <v>3503000</v>
      </c>
    </row>
    <row r="205" spans="10:27" ht="15" customHeight="1" x14ac:dyDescent="0.25">
      <c r="J205" s="206" t="str">
        <f xml:space="preserve"> _xll.EPMOlapMemberO("[COSTCENTER].[PARENTH1].[1001]","","1001","","000")</f>
        <v>1001</v>
      </c>
      <c r="K205" s="210" t="str">
        <f xml:space="preserve"> _xll.EPMOlapMemberO("[C_ACCOUNT].[PARENTH1].[A_2360604]","","A_2360604","","000")</f>
        <v>A_2360604</v>
      </c>
      <c r="L205" s="208" t="str">
        <f>_xll.EPMMemberDesc(K205)</f>
        <v>Taxes Payable - Property Tax</v>
      </c>
      <c r="M205" s="208">
        <v>0</v>
      </c>
      <c r="N205" s="208">
        <v>0</v>
      </c>
      <c r="O205" s="208">
        <v>0</v>
      </c>
      <c r="P205" s="208">
        <v>5799000</v>
      </c>
      <c r="Q205" s="208">
        <v>11598000</v>
      </c>
      <c r="R205" s="208">
        <v>17397000</v>
      </c>
      <c r="S205" s="208">
        <v>23196000</v>
      </c>
      <c r="T205" s="208">
        <v>28995000</v>
      </c>
      <c r="U205" s="208">
        <v>34794000</v>
      </c>
      <c r="V205" s="208">
        <v>40593000</v>
      </c>
      <c r="W205" s="208">
        <v>46392000</v>
      </c>
      <c r="X205" s="208">
        <v>52191000</v>
      </c>
      <c r="Y205" s="208">
        <v>57990000</v>
      </c>
      <c r="Z205" s="208">
        <v>-5799000</v>
      </c>
      <c r="AA205" s="208">
        <v>0</v>
      </c>
    </row>
    <row r="206" spans="10:27" ht="15" customHeight="1" x14ac:dyDescent="0.25">
      <c r="J206" s="206" t="str">
        <f xml:space="preserve"> _xll.EPMOlapMemberO("[COSTCENTER].[PARENTH1].[1001]","","1001","","000")</f>
        <v>1001</v>
      </c>
      <c r="K206" s="210" t="str">
        <f xml:space="preserve"> _xll.EPMOlapMemberO("[C_ACCOUNT].[PARENTH1].[A_2360605]","","A_2360605","","000")</f>
        <v>A_2360605</v>
      </c>
      <c r="L206" s="208" t="str">
        <f>_xll.EPMMemberDesc(K206)</f>
        <v>Taxes Payable - Franchise Fees</v>
      </c>
      <c r="M206" s="208">
        <v>0</v>
      </c>
      <c r="N206" s="208">
        <v>0</v>
      </c>
      <c r="O206" s="208">
        <v>0</v>
      </c>
      <c r="P206" s="208">
        <v>3665000</v>
      </c>
      <c r="Q206" s="208">
        <v>3412000</v>
      </c>
      <c r="R206" s="208">
        <v>3353000</v>
      </c>
      <c r="S206" s="208">
        <v>3525000</v>
      </c>
      <c r="T206" s="208">
        <v>3899000</v>
      </c>
      <c r="U206" s="208">
        <v>4514000</v>
      </c>
      <c r="V206" s="208">
        <v>4707000</v>
      </c>
      <c r="W206" s="208">
        <v>4676000</v>
      </c>
      <c r="X206" s="208">
        <v>4877000</v>
      </c>
      <c r="Y206" s="208">
        <v>4430000</v>
      </c>
      <c r="Z206" s="208">
        <v>3742000</v>
      </c>
      <c r="AA206" s="208">
        <v>3561000</v>
      </c>
    </row>
    <row r="207" spans="10:27" ht="15" customHeight="1" x14ac:dyDescent="0.25">
      <c r="J207" s="206" t="str">
        <f xml:space="preserve"> _xll.EPMOlapMemberO("[COSTCENTER].[PARENTH1].[1001]","","1001","","000")</f>
        <v>1001</v>
      </c>
      <c r="K207" s="210" t="str">
        <f xml:space="preserve"> _xll.EPMOlapMemberO("[C_ACCOUNT].[PARENTH1].[A_2360606]","","A_2360606","","000")</f>
        <v>A_2360606</v>
      </c>
      <c r="L207" s="208" t="str">
        <f>_xll.EPMMemberDesc(K207)</f>
        <v>Taxes Payable - Federal Excise Tax</v>
      </c>
      <c r="M207" s="208">
        <v>0</v>
      </c>
      <c r="N207" s="208">
        <v>0</v>
      </c>
      <c r="O207" s="208">
        <v>0</v>
      </c>
      <c r="P207" s="208">
        <v>0</v>
      </c>
      <c r="Q207" s="208">
        <v>2000</v>
      </c>
      <c r="R207" s="208">
        <v>0</v>
      </c>
      <c r="S207" s="208">
        <v>0</v>
      </c>
      <c r="T207" s="208">
        <v>0</v>
      </c>
      <c r="U207" s="208">
        <v>0</v>
      </c>
      <c r="V207" s="208">
        <v>0</v>
      </c>
      <c r="W207" s="208">
        <v>8000</v>
      </c>
      <c r="X207" s="208">
        <v>0</v>
      </c>
      <c r="Y207" s="208">
        <v>0</v>
      </c>
      <c r="Z207" s="208">
        <v>1000</v>
      </c>
      <c r="AA207" s="208">
        <v>0</v>
      </c>
    </row>
    <row r="208" spans="10:27" ht="15" customHeight="1" x14ac:dyDescent="0.25">
      <c r="J208" s="206" t="str">
        <f xml:space="preserve"> _xll.EPMOlapMemberO("[COSTCENTER].[PARENTH1].[1001]","","1001","","000")</f>
        <v>1001</v>
      </c>
      <c r="K208" s="210" t="str">
        <f xml:space="preserve"> _xll.EPMOlapMemberO("[C_ACCOUNT].[PARENTH1].[A_2360620]","","A_2360620","","000")</f>
        <v>A_2360620</v>
      </c>
      <c r="L208" s="208" t="str">
        <f>_xll.EPMMemberDesc(K208)</f>
        <v>Taxes Payable - FICA Employr</v>
      </c>
      <c r="M208" s="208">
        <v>0</v>
      </c>
      <c r="N208" s="208">
        <v>0</v>
      </c>
      <c r="O208" s="208">
        <v>0</v>
      </c>
      <c r="P208" s="208">
        <v>598865.86859289999</v>
      </c>
      <c r="Q208" s="208">
        <v>371863.71960399998</v>
      </c>
      <c r="R208" s="208">
        <v>424757.48161870003</v>
      </c>
      <c r="S208" s="208">
        <v>421869.19998470001</v>
      </c>
      <c r="T208" s="208">
        <v>408221.11683349998</v>
      </c>
      <c r="U208" s="208">
        <v>430065.98121469998</v>
      </c>
      <c r="V208" s="208">
        <v>441832.76518689998</v>
      </c>
      <c r="W208" s="208">
        <v>426102.67491310003</v>
      </c>
      <c r="X208" s="208">
        <v>439578.046294</v>
      </c>
      <c r="Y208" s="208">
        <v>428189.21091620001</v>
      </c>
      <c r="Z208" s="208">
        <v>425256.5076134</v>
      </c>
      <c r="AA208" s="208">
        <v>675305.20574110001</v>
      </c>
    </row>
    <row r="209" spans="10:27" ht="15" customHeight="1" x14ac:dyDescent="0.25">
      <c r="J209" s="206" t="str">
        <f xml:space="preserve"> _xll.EPMOlapMemberO("[COSTCENTER].[PARENTH1].[1001]","","1001","","000")</f>
        <v>1001</v>
      </c>
      <c r="K209" s="210" t="str">
        <f xml:space="preserve"> _xll.EPMOlapMemberO("[C_ACCOUNT].[PARENTH1].[A_2360800]","","A_2360800","","000")</f>
        <v>A_2360800</v>
      </c>
      <c r="L209" s="208" t="str">
        <f>_xll.EPMMemberDesc(K209)</f>
        <v>Taxes Payable - Other</v>
      </c>
      <c r="M209" s="208">
        <v>0</v>
      </c>
      <c r="N209" s="208">
        <v>0</v>
      </c>
      <c r="O209" s="208">
        <v>0</v>
      </c>
      <c r="P209" s="208">
        <v>15000</v>
      </c>
      <c r="Q209" s="208">
        <v>23000</v>
      </c>
      <c r="R209" s="208">
        <v>15000</v>
      </c>
      <c r="S209" s="208">
        <v>15000</v>
      </c>
      <c r="T209" s="208">
        <v>15000</v>
      </c>
      <c r="U209" s="208">
        <v>15000</v>
      </c>
      <c r="V209" s="208">
        <v>15000</v>
      </c>
      <c r="W209" s="208">
        <v>23000</v>
      </c>
      <c r="X209" s="208">
        <v>33000</v>
      </c>
      <c r="Y209" s="208">
        <v>15000</v>
      </c>
      <c r="Z209" s="208">
        <v>16000</v>
      </c>
      <c r="AA209" s="208">
        <v>15000</v>
      </c>
    </row>
    <row r="210" spans="10:27" ht="15" customHeight="1" x14ac:dyDescent="0.2">
      <c r="J210" s="202" t="str">
        <f xml:space="preserve"> _xll.EPMOlapMemberO("[COSTCENTER].[PARENTH1].[1001]","","1001","","000")</f>
        <v>1001</v>
      </c>
      <c r="K210" s="205" t="str">
        <f xml:space="preserve"> _xll.EPMOlapMemberO("[C_ACCOUNT].[PARENTH1].[OTH_CUR_LIA]","","OTH_CUR_LIA","","000")</f>
        <v>OTH_CUR_LIA</v>
      </c>
      <c r="L210" s="202" t="str">
        <f>_xll.EPMMemberDesc(K210)</f>
        <v>Other current liabilities</v>
      </c>
      <c r="M210" s="203">
        <v>0</v>
      </c>
      <c r="N210" s="203">
        <v>0</v>
      </c>
      <c r="O210" s="203">
        <v>0</v>
      </c>
      <c r="P210" s="203">
        <v>40314156.394401401</v>
      </c>
      <c r="Q210" s="203">
        <v>32050106.787734799</v>
      </c>
      <c r="R210" s="203">
        <v>37066755.016196698</v>
      </c>
      <c r="S210" s="203">
        <v>36913881.18953</v>
      </c>
      <c r="T210" s="203">
        <v>36760998.782863401</v>
      </c>
      <c r="U210" s="203">
        <v>37305120.191778503</v>
      </c>
      <c r="V210" s="203">
        <v>37152235.345111802</v>
      </c>
      <c r="W210" s="203">
        <v>36999341.958445199</v>
      </c>
      <c r="X210" s="203">
        <v>37543452.407360204</v>
      </c>
      <c r="Y210" s="203">
        <v>37390541.890693501</v>
      </c>
      <c r="Z210" s="203">
        <v>37250589.714026898</v>
      </c>
      <c r="AA210" s="203">
        <v>37807677.982942</v>
      </c>
    </row>
    <row r="211" spans="10:27" ht="15" customHeight="1" x14ac:dyDescent="0.2">
      <c r="J211" s="202" t="str">
        <f xml:space="preserve"> _xll.EPMOlapMemberO("[COSTCENTER].[PARENTH1].[1001]","","1001","","000")</f>
        <v>1001</v>
      </c>
      <c r="K211" s="209" t="str">
        <f xml:space="preserve"> _xll.EPMOlapMemberO("[C_ACCOUNT].[PARENTH1].[ARO_OB_C]","","ARO_OB_C","","000")</f>
        <v>ARO_OB_C</v>
      </c>
      <c r="L211" s="202" t="str">
        <f>_xll.EPMMemberDesc(K211)</f>
        <v>ARO Obligation - Current</v>
      </c>
      <c r="M211" s="203">
        <v>0</v>
      </c>
      <c r="N211" s="203">
        <v>0</v>
      </c>
      <c r="O211" s="203">
        <v>0</v>
      </c>
      <c r="P211" s="203">
        <v>500000</v>
      </c>
      <c r="Q211" s="203">
        <v>500000</v>
      </c>
      <c r="R211" s="203">
        <v>500000</v>
      </c>
      <c r="S211" s="203">
        <v>500000</v>
      </c>
      <c r="T211" s="203">
        <v>500000</v>
      </c>
      <c r="U211" s="203">
        <v>500000</v>
      </c>
      <c r="V211" s="203">
        <v>500000</v>
      </c>
      <c r="W211" s="203">
        <v>500000</v>
      </c>
      <c r="X211" s="203">
        <v>500000</v>
      </c>
      <c r="Y211" s="203">
        <v>500000</v>
      </c>
      <c r="Z211" s="203">
        <v>500000</v>
      </c>
      <c r="AA211" s="203">
        <v>500000</v>
      </c>
    </row>
    <row r="212" spans="10:27" ht="15" customHeight="1" x14ac:dyDescent="0.25">
      <c r="J212" s="206" t="str">
        <f xml:space="preserve"> _xll.EPMOlapMemberO("[COSTCENTER].[PARENTH1].[1001]","","1001","","000")</f>
        <v>1001</v>
      </c>
      <c r="K212" s="210" t="str">
        <f xml:space="preserve"> _xll.EPMOlapMemberO("[C_ACCOUNT].[PARENTH1].[A_2300100]","","A_2300100","","000")</f>
        <v>A_2300100</v>
      </c>
      <c r="L212" s="208" t="str">
        <f>_xll.EPMMemberDesc(K212)</f>
        <v>Asset Retirement Obligations - Short-term</v>
      </c>
      <c r="M212" s="208">
        <v>0</v>
      </c>
      <c r="N212" s="208">
        <v>0</v>
      </c>
      <c r="O212" s="208">
        <v>0</v>
      </c>
      <c r="P212" s="208">
        <v>500000</v>
      </c>
      <c r="Q212" s="208">
        <v>500000</v>
      </c>
      <c r="R212" s="208">
        <v>500000</v>
      </c>
      <c r="S212" s="208">
        <v>500000</v>
      </c>
      <c r="T212" s="208">
        <v>500000</v>
      </c>
      <c r="U212" s="208">
        <v>500000</v>
      </c>
      <c r="V212" s="208">
        <v>500000</v>
      </c>
      <c r="W212" s="208">
        <v>500000</v>
      </c>
      <c r="X212" s="208">
        <v>500000</v>
      </c>
      <c r="Y212" s="208">
        <v>500000</v>
      </c>
      <c r="Z212" s="208">
        <v>500000</v>
      </c>
      <c r="AA212" s="208">
        <v>500000</v>
      </c>
    </row>
    <row r="213" spans="10:27" ht="15" customHeight="1" x14ac:dyDescent="0.2">
      <c r="J213" s="202" t="str">
        <f xml:space="preserve"> _xll.EPMOlapMemberO("[COSTCENTER].[PARENTH1].[1001]","","1001","","000")</f>
        <v>1001</v>
      </c>
      <c r="K213" s="209" t="str">
        <f xml:space="preserve"> _xll.EPMOlapMemberO("[C_ACCOUNT].[PARENTH1].[OTH_CUR_LIA_BEN]","","OTH_CUR_LIA_BEN","","000")</f>
        <v>OTH_CUR_LIA_BEN</v>
      </c>
      <c r="L213" s="202" t="str">
        <f>_xll.EPMMemberDesc(K213)</f>
        <v>Other current liabilities - Benefit related</v>
      </c>
      <c r="M213" s="203">
        <v>0</v>
      </c>
      <c r="N213" s="203">
        <v>0</v>
      </c>
      <c r="O213" s="203">
        <v>0</v>
      </c>
      <c r="P213" s="203">
        <v>10106659</v>
      </c>
      <c r="Q213" s="203">
        <v>10106659</v>
      </c>
      <c r="R213" s="203">
        <v>10106659</v>
      </c>
      <c r="S213" s="203">
        <v>10106659</v>
      </c>
      <c r="T213" s="203">
        <v>10106659</v>
      </c>
      <c r="U213" s="203">
        <v>10106659</v>
      </c>
      <c r="V213" s="203">
        <v>10106659</v>
      </c>
      <c r="W213" s="203">
        <v>10106659</v>
      </c>
      <c r="X213" s="203">
        <v>10106659</v>
      </c>
      <c r="Y213" s="203">
        <v>10106659</v>
      </c>
      <c r="Z213" s="203">
        <v>10106659</v>
      </c>
      <c r="AA213" s="203">
        <v>10106659</v>
      </c>
    </row>
    <row r="214" spans="10:27" ht="15" customHeight="1" x14ac:dyDescent="0.25">
      <c r="J214" s="206" t="str">
        <f xml:space="preserve"> _xll.EPMOlapMemberO("[COSTCENTER].[PARENTH1].[1001]","","1001","","000")</f>
        <v>1001</v>
      </c>
      <c r="K214" s="210" t="str">
        <f xml:space="preserve"> _xll.EPMOlapMemberO("[C_ACCOUNT].[PARENTH1].[A_2420111]","","A_2420111","","000")</f>
        <v>A_2420111</v>
      </c>
      <c r="L214" s="208" t="str">
        <f>_xll.EPMMemberDesc(K214)</f>
        <v>SERP Liability FAS158 - Current</v>
      </c>
      <c r="M214" s="208">
        <v>0</v>
      </c>
      <c r="N214" s="208">
        <v>0</v>
      </c>
      <c r="O214" s="208">
        <v>0</v>
      </c>
      <c r="P214" s="208">
        <v>303627</v>
      </c>
      <c r="Q214" s="208">
        <v>303627</v>
      </c>
      <c r="R214" s="208">
        <v>303627</v>
      </c>
      <c r="S214" s="208">
        <v>303627</v>
      </c>
      <c r="T214" s="208">
        <v>303627</v>
      </c>
      <c r="U214" s="208">
        <v>303627</v>
      </c>
      <c r="V214" s="208">
        <v>303627</v>
      </c>
      <c r="W214" s="208">
        <v>303627</v>
      </c>
      <c r="X214" s="208">
        <v>303627</v>
      </c>
      <c r="Y214" s="208">
        <v>303627</v>
      </c>
      <c r="Z214" s="208">
        <v>303627</v>
      </c>
      <c r="AA214" s="208">
        <v>303627</v>
      </c>
    </row>
    <row r="215" spans="10:27" ht="15" customHeight="1" x14ac:dyDescent="0.25">
      <c r="J215" s="206" t="str">
        <f xml:space="preserve"> _xll.EPMOlapMemberO("[COSTCENTER].[PARENTH1].[1001]","","1001","","000")</f>
        <v>1001</v>
      </c>
      <c r="K215" s="210" t="str">
        <f xml:space="preserve"> _xll.EPMOlapMemberO("[C_ACCOUNT].[PARENTH1].[A_2420131]","","A_2420131","","000")</f>
        <v>A_2420131</v>
      </c>
      <c r="L215" s="208" t="str">
        <f>_xll.EPMMemberDesc(K215)</f>
        <v>FAS106 Liability FAS158 - Current</v>
      </c>
      <c r="M215" s="208">
        <v>0</v>
      </c>
      <c r="N215" s="208">
        <v>0</v>
      </c>
      <c r="O215" s="208">
        <v>0</v>
      </c>
      <c r="P215" s="208">
        <v>9803032</v>
      </c>
      <c r="Q215" s="208">
        <v>9803032</v>
      </c>
      <c r="R215" s="208">
        <v>9803032</v>
      </c>
      <c r="S215" s="208">
        <v>9803032</v>
      </c>
      <c r="T215" s="208">
        <v>9803032</v>
      </c>
      <c r="U215" s="208">
        <v>9803032</v>
      </c>
      <c r="V215" s="208">
        <v>9803032</v>
      </c>
      <c r="W215" s="208">
        <v>9803032</v>
      </c>
      <c r="X215" s="208">
        <v>9803032</v>
      </c>
      <c r="Y215" s="208">
        <v>9803032</v>
      </c>
      <c r="Z215" s="208">
        <v>9803032</v>
      </c>
      <c r="AA215" s="208">
        <v>9803032</v>
      </c>
    </row>
    <row r="216" spans="10:27" ht="15" customHeight="1" x14ac:dyDescent="0.2">
      <c r="J216" s="202" t="str">
        <f xml:space="preserve"> _xll.EPMOlapMemberO("[COSTCENTER].[PARENTH1].[1001]","","1001","","000")</f>
        <v>1001</v>
      </c>
      <c r="K216" s="209" t="str">
        <f xml:space="preserve"> _xll.EPMOlapMemberO("[C_ACCOUNT].[PARENTH1].[OTH_CUR_L]","","OTH_CUR_L","","000")</f>
        <v>OTH_CUR_L</v>
      </c>
      <c r="L216" s="202" t="str">
        <f>_xll.EPMMemberDesc(K216)</f>
        <v>Other current liabilities</v>
      </c>
      <c r="M216" s="203">
        <v>0</v>
      </c>
      <c r="N216" s="203">
        <v>0</v>
      </c>
      <c r="O216" s="203">
        <v>0</v>
      </c>
      <c r="P216" s="203">
        <v>27948533.474401399</v>
      </c>
      <c r="Q216" s="203">
        <v>19690992.4777348</v>
      </c>
      <c r="R216" s="203">
        <v>24714165.156196699</v>
      </c>
      <c r="S216" s="203">
        <v>24565856.789530002</v>
      </c>
      <c r="T216" s="203">
        <v>24417548.422863401</v>
      </c>
      <c r="U216" s="203">
        <v>24966252.461778499</v>
      </c>
      <c r="V216" s="203">
        <v>24817944.095111798</v>
      </c>
      <c r="W216" s="203">
        <v>24669635.728445198</v>
      </c>
      <c r="X216" s="203">
        <v>25218339.767360199</v>
      </c>
      <c r="Y216" s="203">
        <v>25070031.400693499</v>
      </c>
      <c r="Z216" s="203">
        <v>24921723.034026898</v>
      </c>
      <c r="AA216" s="203">
        <v>25470427.072942</v>
      </c>
    </row>
    <row r="217" spans="10:27" ht="15" customHeight="1" x14ac:dyDescent="0.25">
      <c r="J217" s="206" t="str">
        <f xml:space="preserve"> _xll.EPMOlapMemberO("[COSTCENTER].[PARENTH1].[1001]","","1001","","000")</f>
        <v>1001</v>
      </c>
      <c r="K217" s="210" t="str">
        <f xml:space="preserve"> _xll.EPMOlapMemberO("[C_ACCOUNT].[PARENTH1].[A_2530120]","","A_2530120","","000")</f>
        <v>A_2530120</v>
      </c>
      <c r="L217" s="208" t="str">
        <f>_xll.EPMMemberDesc(K217)</f>
        <v>Deferred Revenue -Contract Liability - Current</v>
      </c>
      <c r="M217" s="208">
        <v>0</v>
      </c>
      <c r="N217" s="208">
        <v>0</v>
      </c>
      <c r="O217" s="208">
        <v>0</v>
      </c>
      <c r="P217" s="208">
        <v>1751439.5033332999</v>
      </c>
      <c r="Q217" s="208">
        <v>1603131.1366667</v>
      </c>
      <c r="R217" s="208">
        <v>1454822.77</v>
      </c>
      <c r="S217" s="208">
        <v>1306514.4033333</v>
      </c>
      <c r="T217" s="208">
        <v>1158206.0366666999</v>
      </c>
      <c r="U217" s="208">
        <v>1009897.67</v>
      </c>
      <c r="V217" s="208">
        <v>861589.30333330005</v>
      </c>
      <c r="W217" s="208">
        <v>713280.93666670006</v>
      </c>
      <c r="X217" s="208">
        <v>564972.56999999995</v>
      </c>
      <c r="Y217" s="208">
        <v>416664.20333330001</v>
      </c>
      <c r="Z217" s="208">
        <v>268355.83666670002</v>
      </c>
      <c r="AA217" s="208">
        <v>120047.47</v>
      </c>
    </row>
    <row r="218" spans="10:27" ht="15" customHeight="1" x14ac:dyDescent="0.25">
      <c r="J218" s="206" t="str">
        <f xml:space="preserve"> _xll.EPMOlapMemberO("[COSTCENTER].[PARENTH1].[1001]","","1001","","000")</f>
        <v>1001</v>
      </c>
      <c r="K218" s="210" t="str">
        <f xml:space="preserve"> _xll.EPMOlapMemberO("[C_ACCOUNT].[PARENTH1].[A_2530130]","","A_2530130","","000")</f>
        <v>A_2530130</v>
      </c>
      <c r="L218" s="208" t="str">
        <f>_xll.EPMMemberDesc(K218)</f>
        <v>Contract Retentions - Current (Posting)</v>
      </c>
      <c r="M218" s="208">
        <v>0</v>
      </c>
      <c r="N218" s="208">
        <v>0</v>
      </c>
      <c r="O218" s="208">
        <v>0</v>
      </c>
      <c r="P218" s="208">
        <v>15000000</v>
      </c>
      <c r="Q218" s="208">
        <v>15000000</v>
      </c>
      <c r="R218" s="208">
        <v>15000000</v>
      </c>
      <c r="S218" s="208">
        <v>15000000</v>
      </c>
      <c r="T218" s="208">
        <v>15000000</v>
      </c>
      <c r="U218" s="208">
        <v>15000000</v>
      </c>
      <c r="V218" s="208">
        <v>15000000</v>
      </c>
      <c r="W218" s="208">
        <v>15000000</v>
      </c>
      <c r="X218" s="208">
        <v>15000000</v>
      </c>
      <c r="Y218" s="208">
        <v>15000000</v>
      </c>
      <c r="Z218" s="208">
        <v>15000000</v>
      </c>
      <c r="AA218" s="208">
        <v>15000000</v>
      </c>
    </row>
    <row r="219" spans="10:27" ht="15" customHeight="1" x14ac:dyDescent="0.25">
      <c r="J219" s="206" t="str">
        <f xml:space="preserve"> _xll.EPMOlapMemberO("[COSTCENTER].[PARENTH1].[1001]","","1001","","000")</f>
        <v>1001</v>
      </c>
      <c r="K219" s="210" t="str">
        <f xml:space="preserve"> _xll.EPMOlapMemberO("[C_ACCOUNT].[PARENTH1].[A_2420191]","","A_2420191","","000")</f>
        <v>A_2420191</v>
      </c>
      <c r="L219" s="208" t="str">
        <f>_xll.EPMMemberDesc(K219)</f>
        <v>Long-Term Incentive - Current</v>
      </c>
      <c r="M219" s="208">
        <v>0</v>
      </c>
      <c r="N219" s="208">
        <v>0</v>
      </c>
      <c r="O219" s="208">
        <v>0</v>
      </c>
      <c r="P219" s="208">
        <v>8109232.6299999999</v>
      </c>
      <c r="Q219" s="208">
        <v>0</v>
      </c>
      <c r="R219" s="208">
        <v>5017221.3500205996</v>
      </c>
      <c r="S219" s="208">
        <v>5017221.3500205996</v>
      </c>
      <c r="T219" s="208">
        <v>5017221.3500205996</v>
      </c>
      <c r="U219" s="208">
        <v>5559974.0604943996</v>
      </c>
      <c r="V219" s="208">
        <v>5559974.0604943996</v>
      </c>
      <c r="W219" s="208">
        <v>5559974.0604943996</v>
      </c>
      <c r="X219" s="208">
        <v>6102726.7709681001</v>
      </c>
      <c r="Y219" s="208">
        <v>6102726.7709681001</v>
      </c>
      <c r="Z219" s="208">
        <v>6102726.7709681001</v>
      </c>
      <c r="AA219" s="208">
        <v>6645479.4814419001</v>
      </c>
    </row>
    <row r="220" spans="10:27" ht="15" customHeight="1" x14ac:dyDescent="0.25">
      <c r="J220" s="206" t="str">
        <f xml:space="preserve"> _xll.EPMOlapMemberO("[COSTCENTER].[PARENTH1].[1001]","","1001","","000")</f>
        <v>1001</v>
      </c>
      <c r="K220" s="210" t="str">
        <f xml:space="preserve"> _xll.EPMOlapMemberO("[C_ACCOUNT].[PARENTH1].[A_2420192]","","A_2420192","","000")</f>
        <v>A_2420192</v>
      </c>
      <c r="L220" s="208" t="str">
        <f>_xll.EPMMemberDesc(K220)</f>
        <v>Deferred Compensation - Current</v>
      </c>
      <c r="M220" s="208">
        <v>0</v>
      </c>
      <c r="N220" s="208">
        <v>0</v>
      </c>
      <c r="O220" s="208">
        <v>0</v>
      </c>
      <c r="P220" s="208">
        <v>3087861.3410681002</v>
      </c>
      <c r="Q220" s="208">
        <v>3087861.3410681002</v>
      </c>
      <c r="R220" s="208">
        <v>3242121.0361760999</v>
      </c>
      <c r="S220" s="208">
        <v>3242121.0361760999</v>
      </c>
      <c r="T220" s="208">
        <v>3242121.0361760999</v>
      </c>
      <c r="U220" s="208">
        <v>3396380.7312841001</v>
      </c>
      <c r="V220" s="208">
        <v>3396380.7312841001</v>
      </c>
      <c r="W220" s="208">
        <v>3396380.7312841001</v>
      </c>
      <c r="X220" s="208">
        <v>3550640.4263920998</v>
      </c>
      <c r="Y220" s="208">
        <v>3550640.4263920998</v>
      </c>
      <c r="Z220" s="208">
        <v>3550640.4263920998</v>
      </c>
      <c r="AA220" s="208">
        <v>3704900.1215001</v>
      </c>
    </row>
    <row r="221" spans="10:27" ht="15" customHeight="1" x14ac:dyDescent="0.2">
      <c r="J221" s="202" t="str">
        <f xml:space="preserve"> _xll.EPMOlapMemberO("[COSTCENTER].[PARENTH1].[1001]","","1001","","000")</f>
        <v>1001</v>
      </c>
      <c r="K221" s="209" t="str">
        <f xml:space="preserve"> _xll.EPMOlapMemberO("[C_ACCOUNT].[PARENTH1].[SHORT_TRM_L_LIAB]","","SHORT_TRM_L_LIAB","","000")</f>
        <v>SHORT_TRM_L_LIAB</v>
      </c>
      <c r="L221" s="202" t="str">
        <f>_xll.EPMMemberDesc(K221)</f>
        <v>Short-term Lease Liabilities</v>
      </c>
      <c r="M221" s="203">
        <v>0</v>
      </c>
      <c r="N221" s="203">
        <v>0</v>
      </c>
      <c r="O221" s="203">
        <v>0</v>
      </c>
      <c r="P221" s="203">
        <v>1758963.92</v>
      </c>
      <c r="Q221" s="203">
        <v>1752455.31</v>
      </c>
      <c r="R221" s="203">
        <v>1745930.86</v>
      </c>
      <c r="S221" s="203">
        <v>1741365.4</v>
      </c>
      <c r="T221" s="203">
        <v>1736791.36</v>
      </c>
      <c r="U221" s="203">
        <v>1732208.73</v>
      </c>
      <c r="V221" s="203">
        <v>1727632.25</v>
      </c>
      <c r="W221" s="203">
        <v>1723047.23</v>
      </c>
      <c r="X221" s="203">
        <v>1718453.64</v>
      </c>
      <c r="Y221" s="203">
        <v>1713851.49</v>
      </c>
      <c r="Z221" s="203">
        <v>1722207.68</v>
      </c>
      <c r="AA221" s="203">
        <v>1730591.91</v>
      </c>
    </row>
    <row r="222" spans="10:27" ht="15" customHeight="1" x14ac:dyDescent="0.25">
      <c r="J222" s="206" t="str">
        <f xml:space="preserve"> _xll.EPMOlapMemberO("[COSTCENTER].[PARENTH1].[1001]","","1001","","000")</f>
        <v>1001</v>
      </c>
      <c r="K222" s="210" t="str">
        <f xml:space="preserve"> _xll.EPMOlapMemberO("[C_ACCOUNT].[PARENTH1].[A_2430100]","","A_2430100","","000")</f>
        <v>A_2430100</v>
      </c>
      <c r="L222" s="208" t="str">
        <f>_xll.EPMMemberDesc(K222)</f>
        <v>Short-term Lease Liability - Operating Lease</v>
      </c>
      <c r="M222" s="208">
        <v>0</v>
      </c>
      <c r="N222" s="208">
        <v>0</v>
      </c>
      <c r="O222" s="208">
        <v>0</v>
      </c>
      <c r="P222" s="208">
        <v>1758963.92</v>
      </c>
      <c r="Q222" s="208">
        <v>1752455.31</v>
      </c>
      <c r="R222" s="208">
        <v>1745930.86</v>
      </c>
      <c r="S222" s="208">
        <v>1741365.4</v>
      </c>
      <c r="T222" s="208">
        <v>1736791.36</v>
      </c>
      <c r="U222" s="208">
        <v>1732208.73</v>
      </c>
      <c r="V222" s="208">
        <v>1727632.25</v>
      </c>
      <c r="W222" s="208">
        <v>1723047.23</v>
      </c>
      <c r="X222" s="208">
        <v>1718453.64</v>
      </c>
      <c r="Y222" s="208">
        <v>1713851.49</v>
      </c>
      <c r="Z222" s="208">
        <v>1722207.68</v>
      </c>
      <c r="AA222" s="208">
        <v>1730591.91</v>
      </c>
    </row>
    <row r="223" spans="10:27" ht="15" customHeight="1" x14ac:dyDescent="0.2">
      <c r="J223" s="202" t="str">
        <f xml:space="preserve"> _xll.EPMOlapMemberO("[COSTCENTER].[PARENTH1].[1001]","","1001","","000")</f>
        <v>1001</v>
      </c>
      <c r="K223" s="204" t="str">
        <f xml:space="preserve"> _xll.EPMOlapMemberO("[C_ACCOUNT].[PARENTH1].[OTHER_LIABILITIES]","","OTHER_LIABILITIES","","000")</f>
        <v>OTHER_LIABILITIES</v>
      </c>
      <c r="L223" s="202" t="str">
        <f>_xll.EPMMemberDesc(K223)</f>
        <v>OTHER LIABILITIES</v>
      </c>
      <c r="M223" s="203">
        <v>0</v>
      </c>
      <c r="N223" s="203">
        <v>0</v>
      </c>
      <c r="O223" s="203">
        <v>0</v>
      </c>
      <c r="P223" s="203">
        <v>5274034516.8906326</v>
      </c>
      <c r="Q223" s="203">
        <v>5285022787.5081644</v>
      </c>
      <c r="R223" s="203">
        <v>5289967133.2238188</v>
      </c>
      <c r="S223" s="203">
        <v>5287202470.5874767</v>
      </c>
      <c r="T223" s="203">
        <v>5761039899.441081</v>
      </c>
      <c r="U223" s="203">
        <v>5762891796.6307611</v>
      </c>
      <c r="V223" s="203">
        <v>5758872549.6678991</v>
      </c>
      <c r="W223" s="203">
        <v>5761169978.7104836</v>
      </c>
      <c r="X223" s="203">
        <v>5526801680.1103907</v>
      </c>
      <c r="Y223" s="203">
        <v>5529752893.8106546</v>
      </c>
      <c r="Z223" s="203">
        <v>5585522173.5912819</v>
      </c>
      <c r="AA223" s="203">
        <v>5592113494.8165207</v>
      </c>
    </row>
    <row r="224" spans="10:27" ht="15" customHeight="1" x14ac:dyDescent="0.2">
      <c r="J224" s="202" t="str">
        <f xml:space="preserve"> _xll.EPMOlapMemberO("[COSTCENTER].[PARENTH1].[1001]","","1001","","000")</f>
        <v>1001</v>
      </c>
      <c r="K224" s="205" t="str">
        <f xml:space="preserve"> _xll.EPMOlapMemberO("[C_ACCOUNT].[PARENTH1].[INVST_TAX_CREDIT]","","INVST_TAX_CREDIT","","000")</f>
        <v>INVST_TAX_CREDIT</v>
      </c>
      <c r="L224" s="202" t="str">
        <f>_xll.EPMMemberDesc(K224)</f>
        <v>Investment Tax Credits</v>
      </c>
      <c r="M224" s="203">
        <v>0</v>
      </c>
      <c r="N224" s="203">
        <v>0</v>
      </c>
      <c r="O224" s="203">
        <v>0</v>
      </c>
      <c r="P224" s="203">
        <v>233616111.83000001</v>
      </c>
      <c r="Q224" s="203">
        <v>232792235.75999999</v>
      </c>
      <c r="R224" s="203">
        <v>231968359.72999999</v>
      </c>
      <c r="S224" s="203">
        <v>231144483.72</v>
      </c>
      <c r="T224" s="203">
        <v>230320607.63999999</v>
      </c>
      <c r="U224" s="203">
        <v>229496731.58000001</v>
      </c>
      <c r="V224" s="203">
        <v>228672855.62</v>
      </c>
      <c r="W224" s="203">
        <v>227848979.53999999</v>
      </c>
      <c r="X224" s="203">
        <v>227025103.49000001</v>
      </c>
      <c r="Y224" s="203">
        <v>226201227.5</v>
      </c>
      <c r="Z224" s="203">
        <v>270556215.69</v>
      </c>
      <c r="AA224" s="203">
        <v>269732339.67000002</v>
      </c>
    </row>
    <row r="225" spans="10:27" ht="15" customHeight="1" x14ac:dyDescent="0.25">
      <c r="J225" s="206" t="str">
        <f xml:space="preserve"> _xll.EPMOlapMemberO("[COSTCENTER].[PARENTH1].[1001]","","1001","","000")</f>
        <v>1001</v>
      </c>
      <c r="K225" s="207" t="str">
        <f xml:space="preserve"> _xll.EPMOlapMemberO("[C_ACCOUNT].[PARENTH1].[A_2550000]","","A_2550000","","000")</f>
        <v>A_2550000</v>
      </c>
      <c r="L225" s="208" t="str">
        <f>_xll.EPMMemberDesc(K225)</f>
        <v>Accumulated Deferred Investment Tax Credits</v>
      </c>
      <c r="M225" s="208">
        <v>0</v>
      </c>
      <c r="N225" s="208">
        <v>0</v>
      </c>
      <c r="O225" s="208">
        <v>0</v>
      </c>
      <c r="P225" s="208">
        <v>233615194.88999999</v>
      </c>
      <c r="Q225" s="208">
        <v>232791320.25999999</v>
      </c>
      <c r="R225" s="208">
        <v>231967445.68000001</v>
      </c>
      <c r="S225" s="208">
        <v>231143571.11000001</v>
      </c>
      <c r="T225" s="208">
        <v>230319696.47</v>
      </c>
      <c r="U225" s="208">
        <v>229495821.84999999</v>
      </c>
      <c r="V225" s="208">
        <v>228671947.33000001</v>
      </c>
      <c r="W225" s="208">
        <v>227848072.69</v>
      </c>
      <c r="X225" s="208">
        <v>227024198.09</v>
      </c>
      <c r="Y225" s="208">
        <v>226200323.53999999</v>
      </c>
      <c r="Z225" s="208">
        <v>270555313.17000002</v>
      </c>
      <c r="AA225" s="208">
        <v>269731438.58999997</v>
      </c>
    </row>
    <row r="226" spans="10:27" ht="15" customHeight="1" x14ac:dyDescent="0.25">
      <c r="J226" s="206" t="str">
        <f xml:space="preserve"> _xll.EPMOlapMemberO("[COSTCENTER].[PARENTH1].[1001]","","1001","","000")</f>
        <v>1001</v>
      </c>
      <c r="K226" s="207" t="str">
        <f xml:space="preserve"> _xll.EPMOlapMemberO("[C_ACCOUNT].[PARENTH1].[A_2550005]","","A_2550005","","000")</f>
        <v>A_2550005</v>
      </c>
      <c r="L226" s="208" t="str">
        <f>_xll.EPMMemberDesc(K226)</f>
        <v>Accumulated Defd Investment Tax Credit Non Utility</v>
      </c>
      <c r="M226" s="208">
        <v>0</v>
      </c>
      <c r="N226" s="208">
        <v>0</v>
      </c>
      <c r="O226" s="208">
        <v>0</v>
      </c>
      <c r="P226" s="208">
        <v>916.94</v>
      </c>
      <c r="Q226" s="208">
        <v>915.5</v>
      </c>
      <c r="R226" s="208">
        <v>914.05</v>
      </c>
      <c r="S226" s="208">
        <v>912.61</v>
      </c>
      <c r="T226" s="208">
        <v>911.17</v>
      </c>
      <c r="U226" s="208">
        <v>909.73</v>
      </c>
      <c r="V226" s="208">
        <v>908.29</v>
      </c>
      <c r="W226" s="208">
        <v>906.85</v>
      </c>
      <c r="X226" s="208">
        <v>905.4</v>
      </c>
      <c r="Y226" s="208">
        <v>903.96</v>
      </c>
      <c r="Z226" s="208">
        <v>902.52</v>
      </c>
      <c r="AA226" s="208">
        <v>901.08</v>
      </c>
    </row>
    <row r="227" spans="10:27" ht="15" customHeight="1" x14ac:dyDescent="0.2">
      <c r="J227" s="202" t="str">
        <f xml:space="preserve"> _xll.EPMOlapMemberO("[COSTCENTER].[PARENTH1].[1001]","","1001","","000")</f>
        <v>1001</v>
      </c>
      <c r="K227" s="205" t="str">
        <f xml:space="preserve"> _xll.EPMOlapMemberO("[C_ACCOUNT].[PARENTH1].[LT_REG_LIA]","","LT_REG_LIA","","000")</f>
        <v>LT_REG_LIA</v>
      </c>
      <c r="L227" s="202" t="str">
        <f>_xll.EPMMemberDesc(K227)</f>
        <v>Long-term regulatory liabilities</v>
      </c>
      <c r="M227" s="203">
        <v>0</v>
      </c>
      <c r="N227" s="203">
        <v>0</v>
      </c>
      <c r="O227" s="203">
        <v>0</v>
      </c>
      <c r="P227" s="203">
        <v>935446484.51999998</v>
      </c>
      <c r="Q227" s="203">
        <v>932418053.12</v>
      </c>
      <c r="R227" s="203">
        <v>935606942.40999997</v>
      </c>
      <c r="S227" s="203">
        <v>932460378.71000004</v>
      </c>
      <c r="T227" s="203">
        <v>929313821.40999997</v>
      </c>
      <c r="U227" s="203">
        <v>925182129.91999996</v>
      </c>
      <c r="V227" s="203">
        <v>922019872.33000004</v>
      </c>
      <c r="W227" s="203">
        <v>918878429.41999996</v>
      </c>
      <c r="X227" s="203">
        <v>908131093.35000002</v>
      </c>
      <c r="Y227" s="203">
        <v>904886828.01999998</v>
      </c>
      <c r="Z227" s="203">
        <v>914450949.51999998</v>
      </c>
      <c r="AA227" s="203">
        <v>913527602.71000004</v>
      </c>
    </row>
    <row r="228" spans="10:27" ht="15" customHeight="1" x14ac:dyDescent="0.2">
      <c r="J228" s="202" t="str">
        <f xml:space="preserve"> _xll.EPMOlapMemberO("[COSTCENTER].[PARENTH1].[1001]","","1001","","000")</f>
        <v>1001</v>
      </c>
      <c r="K228" s="209" t="str">
        <f xml:space="preserve"> _xll.EPMOlapMemberO("[C_ACCOUNT].[PARENTH1].[OTH_REG_LIA_NC]","","OTH_REG_LIA_NC","","000")</f>
        <v>OTH_REG_LIA_NC</v>
      </c>
      <c r="L228" s="202" t="str">
        <f>_xll.EPMMemberDesc(K228)</f>
        <v>Other regulatory liabilities - Non-current</v>
      </c>
      <c r="M228" s="203">
        <v>0</v>
      </c>
      <c r="N228" s="203">
        <v>0</v>
      </c>
      <c r="O228" s="203">
        <v>0</v>
      </c>
      <c r="P228" s="203">
        <v>346653676.99000001</v>
      </c>
      <c r="Q228" s="203">
        <v>346748676.99000001</v>
      </c>
      <c r="R228" s="203">
        <v>346843676.99000001</v>
      </c>
      <c r="S228" s="203">
        <v>346938668.99000001</v>
      </c>
      <c r="T228" s="203">
        <v>347033668.99000001</v>
      </c>
      <c r="U228" s="203">
        <v>347128668.99000001</v>
      </c>
      <c r="V228" s="203">
        <v>347223659.99000001</v>
      </c>
      <c r="W228" s="203">
        <v>347318659.99000001</v>
      </c>
      <c r="X228" s="203">
        <v>347413659.99000001</v>
      </c>
      <c r="Y228" s="203">
        <v>347408651.99000001</v>
      </c>
      <c r="Z228" s="203">
        <v>347503651.99000001</v>
      </c>
      <c r="AA228" s="203">
        <v>347598651.99000001</v>
      </c>
    </row>
    <row r="229" spans="10:27" ht="15" customHeight="1" x14ac:dyDescent="0.25">
      <c r="J229" s="206" t="str">
        <f xml:space="preserve"> _xll.EPMOlapMemberO("[COSTCENTER].[PARENTH1].[1001]","","1001","","000")</f>
        <v>1001</v>
      </c>
      <c r="K229" s="210" t="str">
        <f xml:space="preserve"> _xll.EPMOlapMemberO("[C_ACCOUNT].[PARENTH1].[A_1080210]","","A_1080210","","000")</f>
        <v>A_1080210</v>
      </c>
      <c r="L229" s="208" t="str">
        <f>_xll.EPMMemberDesc(K229)</f>
        <v>Accum Reserve Cost of Removal Contra- Non-Current</v>
      </c>
      <c r="M229" s="208">
        <v>0</v>
      </c>
      <c r="N229" s="208">
        <v>0</v>
      </c>
      <c r="O229" s="208">
        <v>0</v>
      </c>
      <c r="P229" s="208">
        <v>298845725.92000002</v>
      </c>
      <c r="Q229" s="208">
        <v>298940725.92000002</v>
      </c>
      <c r="R229" s="208">
        <v>299035725.92000002</v>
      </c>
      <c r="S229" s="208">
        <v>299130725.92000002</v>
      </c>
      <c r="T229" s="208">
        <v>299225725.92000002</v>
      </c>
      <c r="U229" s="208">
        <v>299320725.92000002</v>
      </c>
      <c r="V229" s="208">
        <v>299415725.92000002</v>
      </c>
      <c r="W229" s="208">
        <v>299510725.92000002</v>
      </c>
      <c r="X229" s="208">
        <v>299605725.92000002</v>
      </c>
      <c r="Y229" s="208">
        <v>299700725.92000002</v>
      </c>
      <c r="Z229" s="208">
        <v>299795725.92000002</v>
      </c>
      <c r="AA229" s="208">
        <v>299890725.92000002</v>
      </c>
    </row>
    <row r="230" spans="10:27" ht="15" customHeight="1" x14ac:dyDescent="0.25">
      <c r="J230" s="206" t="str">
        <f xml:space="preserve"> _xll.EPMOlapMemberO("[COSTCENTER].[PARENTH1].[1001]","","1001","","000")</f>
        <v>1001</v>
      </c>
      <c r="K230" s="210" t="str">
        <f xml:space="preserve"> _xll.EPMOlapMemberO("[C_ACCOUNT].[PARENTH1].[A_2281000]","","A_2281000","","000")</f>
        <v>A_2281000</v>
      </c>
      <c r="L230" s="208" t="str">
        <f>_xll.EPMMemberDesc(K230)</f>
        <v>Accumulated Provision for Property Insurance</v>
      </c>
      <c r="M230" s="208">
        <v>0</v>
      </c>
      <c r="N230" s="208">
        <v>0</v>
      </c>
      <c r="O230" s="208">
        <v>0</v>
      </c>
      <c r="P230" s="208">
        <v>47773707.07</v>
      </c>
      <c r="Q230" s="208">
        <v>47773707.07</v>
      </c>
      <c r="R230" s="208">
        <v>47773707.07</v>
      </c>
      <c r="S230" s="208">
        <v>47773707.07</v>
      </c>
      <c r="T230" s="208">
        <v>47773707.07</v>
      </c>
      <c r="U230" s="208">
        <v>47773707.07</v>
      </c>
      <c r="V230" s="208">
        <v>47773707.07</v>
      </c>
      <c r="W230" s="208">
        <v>47773707.07</v>
      </c>
      <c r="X230" s="208">
        <v>47773707.07</v>
      </c>
      <c r="Y230" s="208">
        <v>47673707.07</v>
      </c>
      <c r="Z230" s="208">
        <v>47673707.07</v>
      </c>
      <c r="AA230" s="208">
        <v>47673707.07</v>
      </c>
    </row>
    <row r="231" spans="10:27" ht="15" customHeight="1" x14ac:dyDescent="0.25">
      <c r="J231" s="206" t="str">
        <f xml:space="preserve"> _xll.EPMOlapMemberO("[COSTCENTER].[PARENTH1].[1001]","","1001","","000")</f>
        <v>1001</v>
      </c>
      <c r="K231" s="210" t="str">
        <f xml:space="preserve"> _xll.EPMOlapMemberO("[C_ACCOUNT].[PARENTH1].[A_2540320]","","A_2540320","","000")</f>
        <v>A_2540320</v>
      </c>
      <c r="L231" s="208" t="str">
        <f>_xll.EPMMemberDesc(K231)</f>
        <v>Oth Reg Liab-Deferred Allowance Auction Credits</v>
      </c>
      <c r="M231" s="208">
        <v>0</v>
      </c>
      <c r="N231" s="208">
        <v>0</v>
      </c>
      <c r="O231" s="208">
        <v>0</v>
      </c>
      <c r="P231" s="208">
        <v>34244</v>
      </c>
      <c r="Q231" s="208">
        <v>34244</v>
      </c>
      <c r="R231" s="208">
        <v>34244</v>
      </c>
      <c r="S231" s="208">
        <v>34236</v>
      </c>
      <c r="T231" s="208">
        <v>34236</v>
      </c>
      <c r="U231" s="208">
        <v>34236</v>
      </c>
      <c r="V231" s="208">
        <v>34227</v>
      </c>
      <c r="W231" s="208">
        <v>34227</v>
      </c>
      <c r="X231" s="208">
        <v>34227</v>
      </c>
      <c r="Y231" s="208">
        <v>34219</v>
      </c>
      <c r="Z231" s="208">
        <v>34219</v>
      </c>
      <c r="AA231" s="208">
        <v>34219</v>
      </c>
    </row>
    <row r="232" spans="10:27" ht="15" customHeight="1" x14ac:dyDescent="0.2">
      <c r="J232" s="202" t="str">
        <f xml:space="preserve"> _xll.EPMOlapMemberO("[COSTCENTER].[PARENTH1].[1001]","","1001","","000")</f>
        <v>1001</v>
      </c>
      <c r="K232" s="209" t="str">
        <f xml:space="preserve"> _xll.EPMOlapMemberO("[C_ACCOUNT].[PARENTH1].[REG_LIA_TAX]","","REG_LIA_TAX","","000")</f>
        <v>REG_LIA_TAX</v>
      </c>
      <c r="L232" s="202" t="str">
        <f>_xll.EPMMemberDesc(K232)</f>
        <v>Regulatory liabilities - tax related</v>
      </c>
      <c r="M232" s="203">
        <v>0</v>
      </c>
      <c r="N232" s="203">
        <v>0</v>
      </c>
      <c r="O232" s="203">
        <v>0</v>
      </c>
      <c r="P232" s="203">
        <v>588792807.52999997</v>
      </c>
      <c r="Q232" s="203">
        <v>585669376.13</v>
      </c>
      <c r="R232" s="203">
        <v>588763265.41999996</v>
      </c>
      <c r="S232" s="203">
        <v>585521709.72000003</v>
      </c>
      <c r="T232" s="203">
        <v>582280152.41999996</v>
      </c>
      <c r="U232" s="203">
        <v>578053460.92999995</v>
      </c>
      <c r="V232" s="203">
        <v>574796212.34000003</v>
      </c>
      <c r="W232" s="203">
        <v>571559769.42999995</v>
      </c>
      <c r="X232" s="203">
        <v>560717433.36000001</v>
      </c>
      <c r="Y232" s="203">
        <v>557478176.02999997</v>
      </c>
      <c r="Z232" s="203">
        <v>566947297.52999997</v>
      </c>
      <c r="AA232" s="203">
        <v>565928950.72000003</v>
      </c>
    </row>
    <row r="233" spans="10:27" ht="15" customHeight="1" x14ac:dyDescent="0.25">
      <c r="J233" s="206" t="str">
        <f xml:space="preserve"> _xll.EPMOlapMemberO("[COSTCENTER].[PARENTH1].[1001]","","1001","","000")</f>
        <v>1001</v>
      </c>
      <c r="K233" s="210" t="str">
        <f xml:space="preserve"> _xll.EPMOlapMemberO("[C_ACCOUNT].[PARENTH1].[A_2540610]","","A_2540610","","000")</f>
        <v>A_2540610</v>
      </c>
      <c r="L233" s="208" t="str">
        <f>_xll.EPMMemberDesc(K233)</f>
        <v>Oth Reg Liab-FAS 109 Income Tax</v>
      </c>
      <c r="M233" s="208">
        <v>0</v>
      </c>
      <c r="N233" s="208">
        <v>0</v>
      </c>
      <c r="O233" s="208">
        <v>0</v>
      </c>
      <c r="P233" s="208">
        <v>588792807.52999997</v>
      </c>
      <c r="Q233" s="208">
        <v>585669376.13</v>
      </c>
      <c r="R233" s="208">
        <v>588763265.41999996</v>
      </c>
      <c r="S233" s="208">
        <v>585521709.72000003</v>
      </c>
      <c r="T233" s="208">
        <v>582280152.41999996</v>
      </c>
      <c r="U233" s="208">
        <v>578053460.92999995</v>
      </c>
      <c r="V233" s="208">
        <v>574796212.34000003</v>
      </c>
      <c r="W233" s="208">
        <v>571559769.42999995</v>
      </c>
      <c r="X233" s="208">
        <v>560717433.36000001</v>
      </c>
      <c r="Y233" s="208">
        <v>557478176.02999997</v>
      </c>
      <c r="Z233" s="208">
        <v>566947297.52999997</v>
      </c>
      <c r="AA233" s="208">
        <v>565928950.72000003</v>
      </c>
    </row>
    <row r="234" spans="10:27" ht="15" customHeight="1" x14ac:dyDescent="0.2">
      <c r="J234" s="202" t="str">
        <f xml:space="preserve"> _xll.EPMOlapMemberO("[COSTCENTER].[PARENTH1].[1001]","","1001","","000")</f>
        <v>1001</v>
      </c>
      <c r="K234" s="205" t="str">
        <f xml:space="preserve"> _xll.EPMOlapMemberO("[C_ACCOUNT].[PARENTH1].[DEF_INCTAX]","","DEF_INCTAX","","000")</f>
        <v>DEF_INCTAX</v>
      </c>
      <c r="L234" s="202" t="str">
        <f>_xll.EPMMemberDesc(K234)</f>
        <v>Deferred income taxes</v>
      </c>
      <c r="M234" s="203">
        <v>0</v>
      </c>
      <c r="N234" s="203">
        <v>0</v>
      </c>
      <c r="O234" s="203">
        <v>0</v>
      </c>
      <c r="P234" s="203">
        <v>1256239309.98</v>
      </c>
      <c r="Q234" s="203">
        <v>1270111026.71</v>
      </c>
      <c r="R234" s="203">
        <v>1275192008.46</v>
      </c>
      <c r="S234" s="203">
        <v>1281473551.1800001</v>
      </c>
      <c r="T234" s="203">
        <v>1288274572.8</v>
      </c>
      <c r="U234" s="203">
        <v>1293401798.0599999</v>
      </c>
      <c r="V234" s="203">
        <v>1298280602.21</v>
      </c>
      <c r="W234" s="203">
        <v>1303785783.51</v>
      </c>
      <c r="X234" s="203">
        <v>1309456096.53</v>
      </c>
      <c r="Y234" s="203">
        <v>1315716784.4400001</v>
      </c>
      <c r="Z234" s="203">
        <v>1316807805.3499999</v>
      </c>
      <c r="AA234" s="203">
        <v>1322943155.3399999</v>
      </c>
    </row>
    <row r="235" spans="10:27" ht="15" customHeight="1" x14ac:dyDescent="0.25">
      <c r="J235" s="206" t="str">
        <f xml:space="preserve"> _xll.EPMOlapMemberO("[COSTCENTER].[PARENTH1].[1001]","","1001","","000")</f>
        <v>1001</v>
      </c>
      <c r="K235" s="207" t="str">
        <f xml:space="preserve"> _xll.EPMOlapMemberO("[C_ACCOUNT].[PARENTH1].[A_1900610]","","A_1900610","","000")</f>
        <v>A_1900610</v>
      </c>
      <c r="L235" s="208" t="str">
        <f>_xll.EPMMemberDesc(K235)</f>
        <v>Deferred Tax Fd ITC - FAS109 Inc Tax</v>
      </c>
      <c r="M235" s="208">
        <v>0</v>
      </c>
      <c r="N235" s="208">
        <v>0</v>
      </c>
      <c r="O235" s="208">
        <v>0</v>
      </c>
      <c r="P235" s="208">
        <v>-65714803.780000001</v>
      </c>
      <c r="Q235" s="208">
        <v>-65483052.380000003</v>
      </c>
      <c r="R235" s="208">
        <v>-65251301.07</v>
      </c>
      <c r="S235" s="208">
        <v>-65019549.780000001</v>
      </c>
      <c r="T235" s="208">
        <v>-64787798.350000001</v>
      </c>
      <c r="U235" s="208">
        <v>-64556047.060000002</v>
      </c>
      <c r="V235" s="208">
        <v>-64324295.68</v>
      </c>
      <c r="W235" s="208">
        <v>-64092544.310000002</v>
      </c>
      <c r="X235" s="208">
        <v>-63860792.93</v>
      </c>
      <c r="Y235" s="208">
        <v>-63629041.609999999</v>
      </c>
      <c r="Z235" s="208">
        <v>-76105831.599999994</v>
      </c>
      <c r="AA235" s="208">
        <v>-75874080.25</v>
      </c>
    </row>
    <row r="236" spans="10:27" ht="15" customHeight="1" x14ac:dyDescent="0.25">
      <c r="J236" s="206" t="str">
        <f xml:space="preserve"> _xll.EPMOlapMemberO("[COSTCENTER].[PARENTH1].[1001]","","1001","","000")</f>
        <v>1001</v>
      </c>
      <c r="K236" s="207" t="str">
        <f xml:space="preserve"> _xll.EPMOlapMemberO("[C_ACCOUNT].[PARENTH1].[A_2810300]","","A_2810300","","000")</f>
        <v>A_2810300</v>
      </c>
      <c r="L236" s="208" t="str">
        <f>_xll.EPMMemberDesc(K236)</f>
        <v>DIT Federal Accelerated Amortization Property</v>
      </c>
      <c r="M236" s="208">
        <v>0</v>
      </c>
      <c r="N236" s="208">
        <v>0</v>
      </c>
      <c r="O236" s="208">
        <v>0</v>
      </c>
      <c r="P236" s="208">
        <v>45216152.590000004</v>
      </c>
      <c r="Q236" s="208">
        <v>45243564.479999997</v>
      </c>
      <c r="R236" s="208">
        <v>45270976.359999999</v>
      </c>
      <c r="S236" s="208">
        <v>45298388.229999997</v>
      </c>
      <c r="T236" s="208">
        <v>45325800.119999997</v>
      </c>
      <c r="U236" s="208">
        <v>45353212</v>
      </c>
      <c r="V236" s="208">
        <v>45380623.890000001</v>
      </c>
      <c r="W236" s="208">
        <v>45408035.770000003</v>
      </c>
      <c r="X236" s="208">
        <v>45435447.649999999</v>
      </c>
      <c r="Y236" s="208">
        <v>45462859.539999999</v>
      </c>
      <c r="Z236" s="208">
        <v>45490271.409999996</v>
      </c>
      <c r="AA236" s="208">
        <v>45517683.289999999</v>
      </c>
    </row>
    <row r="237" spans="10:27" ht="15" customHeight="1" x14ac:dyDescent="0.25">
      <c r="J237" s="206" t="str">
        <f xml:space="preserve"> _xll.EPMOlapMemberO("[COSTCENTER].[PARENTH1].[1001]","","1001","","000")</f>
        <v>1001</v>
      </c>
      <c r="K237" s="207" t="str">
        <f xml:space="preserve"> _xll.EPMOlapMemberO("[C_ACCOUNT].[PARENTH1].[A_2810400]","","A_2810400","","000")</f>
        <v>A_2810400</v>
      </c>
      <c r="L237" s="208" t="str">
        <f>_xll.EPMMemberDesc(K237)</f>
        <v>DIT State Accelerated Amortization Property</v>
      </c>
      <c r="M237" s="208">
        <v>0</v>
      </c>
      <c r="N237" s="208">
        <v>0</v>
      </c>
      <c r="O237" s="208">
        <v>0</v>
      </c>
      <c r="P237" s="208">
        <v>7313960.0099999998</v>
      </c>
      <c r="Q237" s="208">
        <v>7323090.5999999996</v>
      </c>
      <c r="R237" s="208">
        <v>7332221.1799999997</v>
      </c>
      <c r="S237" s="208">
        <v>7341351.7599999998</v>
      </c>
      <c r="T237" s="208">
        <v>7350482.3499999996</v>
      </c>
      <c r="U237" s="208">
        <v>7359612.9299999997</v>
      </c>
      <c r="V237" s="208">
        <v>7368743.5099999998</v>
      </c>
      <c r="W237" s="208">
        <v>7377874.0999999996</v>
      </c>
      <c r="X237" s="208">
        <v>7387004.6799999997</v>
      </c>
      <c r="Y237" s="208">
        <v>7396135.2599999998</v>
      </c>
      <c r="Z237" s="208">
        <v>7405265.8499999996</v>
      </c>
      <c r="AA237" s="208">
        <v>7414396.4299999997</v>
      </c>
    </row>
    <row r="238" spans="10:27" ht="15" customHeight="1" x14ac:dyDescent="0.25">
      <c r="J238" s="206" t="str">
        <f xml:space="preserve"> _xll.EPMOlapMemberO("[COSTCENTER].[PARENTH1].[1001]","","1001","","000")</f>
        <v>1001</v>
      </c>
      <c r="K238" s="207" t="str">
        <f xml:space="preserve"> _xll.EPMOlapMemberO("[C_ACCOUNT].[PARENTH1].[A_2820300]","","A_2820300","","000")</f>
        <v>A_2820300</v>
      </c>
      <c r="L238" s="208" t="str">
        <f>_xll.EPMMemberDesc(K238)</f>
        <v>Defd Inc Tax Other Property - Federal</v>
      </c>
      <c r="M238" s="208">
        <v>0</v>
      </c>
      <c r="N238" s="208">
        <v>0</v>
      </c>
      <c r="O238" s="208">
        <v>0</v>
      </c>
      <c r="P238" s="208">
        <v>1368739057.0899999</v>
      </c>
      <c r="Q238" s="208">
        <v>1370710710.1500001</v>
      </c>
      <c r="R238" s="208">
        <v>1372666902.5899999</v>
      </c>
      <c r="S238" s="208">
        <v>1374653451.9000001</v>
      </c>
      <c r="T238" s="208">
        <v>1376637496.45</v>
      </c>
      <c r="U238" s="208">
        <v>1378461785.6199999</v>
      </c>
      <c r="V238" s="208">
        <v>1380206560.5799999</v>
      </c>
      <c r="W238" s="208">
        <v>1381902462.75</v>
      </c>
      <c r="X238" s="208">
        <v>1383548325.1700001</v>
      </c>
      <c r="Y238" s="208">
        <v>1385194140.8</v>
      </c>
      <c r="Z238" s="208">
        <v>1386858399.1199999</v>
      </c>
      <c r="AA238" s="208">
        <v>1388581159.03</v>
      </c>
    </row>
    <row r="239" spans="10:27" ht="15" customHeight="1" x14ac:dyDescent="0.25">
      <c r="J239" s="206" t="str">
        <f xml:space="preserve"> _xll.EPMOlapMemberO("[COSTCENTER].[PARENTH1].[1001]","","1001","","000")</f>
        <v>1001</v>
      </c>
      <c r="K239" s="207" t="str">
        <f xml:space="preserve"> _xll.EPMOlapMemberO("[C_ACCOUNT].[PARENTH1].[A_2820400]","","A_2820400","","000")</f>
        <v>A_2820400</v>
      </c>
      <c r="L239" s="208" t="str">
        <f>_xll.EPMMemberDesc(K239)</f>
        <v>Defd Inc Tax Other Property - State</v>
      </c>
      <c r="M239" s="208">
        <v>0</v>
      </c>
      <c r="N239" s="208">
        <v>0</v>
      </c>
      <c r="O239" s="208">
        <v>0</v>
      </c>
      <c r="P239" s="208">
        <v>221038862.74000001</v>
      </c>
      <c r="Q239" s="208">
        <v>222358020.36000001</v>
      </c>
      <c r="R239" s="208">
        <v>223673742.78</v>
      </c>
      <c r="S239" s="208">
        <v>224996210.22</v>
      </c>
      <c r="T239" s="208">
        <v>226318121.13999999</v>
      </c>
      <c r="U239" s="208">
        <v>227604535.83000001</v>
      </c>
      <c r="V239" s="208">
        <v>228873283.21000001</v>
      </c>
      <c r="W239" s="208">
        <v>230131171.47</v>
      </c>
      <c r="X239" s="208">
        <v>231377941.34999999</v>
      </c>
      <c r="Y239" s="208">
        <v>232624700.84</v>
      </c>
      <c r="Z239" s="208">
        <v>233875558.13999999</v>
      </c>
      <c r="AA239" s="208">
        <v>235139413.94999999</v>
      </c>
    </row>
    <row r="240" spans="10:27" ht="15" customHeight="1" x14ac:dyDescent="0.25">
      <c r="J240" s="206" t="str">
        <f xml:space="preserve"> _xll.EPMOlapMemberO("[COSTCENTER].[PARENTH1].[1001]","","1001","","000")</f>
        <v>1001</v>
      </c>
      <c r="K240" s="207" t="str">
        <f xml:space="preserve"> _xll.EPMOlapMemberO("[C_ACCOUNT].[PARENTH1].[A_2820610]","","A_2820610","","000")</f>
        <v>A_2820610</v>
      </c>
      <c r="L240" s="208" t="str">
        <f>_xll.EPMMemberDesc(K240)</f>
        <v>Defd Inc Tax Other Property - FAS109</v>
      </c>
      <c r="M240" s="208">
        <v>0</v>
      </c>
      <c r="N240" s="208">
        <v>0</v>
      </c>
      <c r="O240" s="208">
        <v>0</v>
      </c>
      <c r="P240" s="208">
        <v>-322973336.25999999</v>
      </c>
      <c r="Q240" s="208">
        <v>-320340661.38</v>
      </c>
      <c r="R240" s="208">
        <v>-322321580.88999999</v>
      </c>
      <c r="S240" s="208">
        <v>-319547589.81999999</v>
      </c>
      <c r="T240" s="208">
        <v>-316747111.30000001</v>
      </c>
      <c r="U240" s="208">
        <v>-313166663.10000002</v>
      </c>
      <c r="V240" s="208">
        <v>-310268283.07999998</v>
      </c>
      <c r="W240" s="208">
        <v>-307357971.22000003</v>
      </c>
      <c r="X240" s="208">
        <v>-298739243.00999999</v>
      </c>
      <c r="Y240" s="208">
        <v>-295776499.36000001</v>
      </c>
      <c r="Z240" s="208">
        <v>-287290428.99000001</v>
      </c>
      <c r="AA240" s="208">
        <v>-286445729.31</v>
      </c>
    </row>
    <row r="241" spans="10:27" ht="15" customHeight="1" x14ac:dyDescent="0.25">
      <c r="J241" s="206" t="str">
        <f xml:space="preserve"> _xll.EPMOlapMemberO("[COSTCENTER].[PARENTH1].[1001]","","1001","","000")</f>
        <v>1001</v>
      </c>
      <c r="K241" s="207" t="str">
        <f xml:space="preserve"> _xll.EPMOlapMemberO("[C_ACCOUNT].[PARENTH1].[A_2830300]","","A_2830300","","000")</f>
        <v>A_2830300</v>
      </c>
      <c r="L241" s="208" t="str">
        <f>_xll.EPMMemberDesc(K241)</f>
        <v>DIT Liab-Federal</v>
      </c>
      <c r="M241" s="208">
        <v>0</v>
      </c>
      <c r="N241" s="208">
        <v>0</v>
      </c>
      <c r="O241" s="208">
        <v>0</v>
      </c>
      <c r="P241" s="208">
        <v>10142783.93</v>
      </c>
      <c r="Q241" s="208">
        <v>15722222.57</v>
      </c>
      <c r="R241" s="208">
        <v>20024738.059999999</v>
      </c>
      <c r="S241" s="208">
        <v>19208068</v>
      </c>
      <c r="T241" s="208">
        <v>18789911.800000001</v>
      </c>
      <c r="U241" s="208">
        <v>16173473.18</v>
      </c>
      <c r="V241" s="208">
        <v>14312395.460000001</v>
      </c>
      <c r="W241" s="208">
        <v>13002440.970000001</v>
      </c>
      <c r="X241" s="208">
        <v>4589058.24</v>
      </c>
      <c r="Y241" s="208">
        <v>3889501.56</v>
      </c>
      <c r="Z241" s="208">
        <v>3286360.61</v>
      </c>
      <c r="AA241" s="208">
        <v>5030057.7</v>
      </c>
    </row>
    <row r="242" spans="10:27" ht="15" customHeight="1" x14ac:dyDescent="0.25">
      <c r="J242" s="206" t="str">
        <f xml:space="preserve"> _xll.EPMOlapMemberO("[COSTCENTER].[PARENTH1].[1001]","","1001","","000")</f>
        <v>1001</v>
      </c>
      <c r="K242" s="207" t="str">
        <f xml:space="preserve"> _xll.EPMOlapMemberO("[C_ACCOUNT].[PARENTH1].[A_2830330]","","A_2830330","","000")</f>
        <v>A_2830330</v>
      </c>
      <c r="L242" s="208" t="str">
        <f>_xll.EPMMemberDesc(K242)</f>
        <v>DIT Liab-FAS 158 - Federal</v>
      </c>
      <c r="M242" s="208">
        <v>0</v>
      </c>
      <c r="N242" s="208">
        <v>0</v>
      </c>
      <c r="O242" s="208">
        <v>0</v>
      </c>
      <c r="P242" s="208">
        <v>83446881.469999999</v>
      </c>
      <c r="Q242" s="208">
        <v>83446881.469999999</v>
      </c>
      <c r="R242" s="208">
        <v>83446881.469999999</v>
      </c>
      <c r="S242" s="208">
        <v>83446881.469999999</v>
      </c>
      <c r="T242" s="208">
        <v>83446881.469999999</v>
      </c>
      <c r="U242" s="208">
        <v>83446881.469999999</v>
      </c>
      <c r="V242" s="208">
        <v>83446881.469999999</v>
      </c>
      <c r="W242" s="208">
        <v>83446881.469999999</v>
      </c>
      <c r="X242" s="208">
        <v>83446881.469999999</v>
      </c>
      <c r="Y242" s="208">
        <v>83446881.469999999</v>
      </c>
      <c r="Z242" s="208">
        <v>83446881.469999999</v>
      </c>
      <c r="AA242" s="208">
        <v>83446881.469999999</v>
      </c>
    </row>
    <row r="243" spans="10:27" ht="15" customHeight="1" x14ac:dyDescent="0.25">
      <c r="J243" s="206" t="str">
        <f xml:space="preserve"> _xll.EPMOlapMemberO("[COSTCENTER].[PARENTH1].[1001]","","1001","","000")</f>
        <v>1001</v>
      </c>
      <c r="K243" s="207" t="str">
        <f xml:space="preserve"> _xll.EPMOlapMemberO("[C_ACCOUNT].[PARENTH1].[A_2830340]","","A_2830340","","000")</f>
        <v>A_2830340</v>
      </c>
      <c r="L243" s="208" t="str">
        <f>_xll.EPMMemberDesc(K243)</f>
        <v>DIT Liab-FAS 133 - Federal</v>
      </c>
      <c r="M243" s="208">
        <v>0</v>
      </c>
      <c r="N243" s="208">
        <v>0</v>
      </c>
      <c r="O243" s="208">
        <v>0</v>
      </c>
      <c r="P243" s="208">
        <v>1926508.04</v>
      </c>
      <c r="Q243" s="208">
        <v>1926508.04</v>
      </c>
      <c r="R243" s="208">
        <v>1926508.04</v>
      </c>
      <c r="S243" s="208">
        <v>1926508.04</v>
      </c>
      <c r="T243" s="208">
        <v>1926508.04</v>
      </c>
      <c r="U243" s="208">
        <v>1926508.04</v>
      </c>
      <c r="V243" s="208">
        <v>1926508.04</v>
      </c>
      <c r="W243" s="208">
        <v>1926508.04</v>
      </c>
      <c r="X243" s="208">
        <v>1926508.04</v>
      </c>
      <c r="Y243" s="208">
        <v>1926508.04</v>
      </c>
      <c r="Z243" s="208">
        <v>1926508.04</v>
      </c>
      <c r="AA243" s="208">
        <v>1926508.04</v>
      </c>
    </row>
    <row r="244" spans="10:27" ht="15" customHeight="1" x14ac:dyDescent="0.25">
      <c r="J244" s="206" t="str">
        <f xml:space="preserve"> _xll.EPMOlapMemberO("[COSTCENTER].[PARENTH1].[1001]","","1001","","000")</f>
        <v>1001</v>
      </c>
      <c r="K244" s="207" t="str">
        <f xml:space="preserve"> _xll.EPMOlapMemberO("[C_ACCOUNT].[PARENTH1].[A_2830400]","","A_2830400","","000")</f>
        <v>A_2830400</v>
      </c>
      <c r="L244" s="208" t="str">
        <f>_xll.EPMMemberDesc(K244)</f>
        <v>DIT Liab-State</v>
      </c>
      <c r="M244" s="208">
        <v>0</v>
      </c>
      <c r="N244" s="208">
        <v>0</v>
      </c>
      <c r="O244" s="208">
        <v>0</v>
      </c>
      <c r="P244" s="208">
        <v>2168804.5299999998</v>
      </c>
      <c r="Q244" s="208">
        <v>3382198.67</v>
      </c>
      <c r="R244" s="208">
        <v>3280563.51</v>
      </c>
      <c r="S244" s="208">
        <v>3092394.04</v>
      </c>
      <c r="T244" s="208">
        <v>2992771</v>
      </c>
      <c r="U244" s="208">
        <v>2568120.2200000002</v>
      </c>
      <c r="V244" s="208">
        <v>2150495.83</v>
      </c>
      <c r="W244" s="208">
        <v>1851874.6</v>
      </c>
      <c r="X244" s="208">
        <v>1236576.27</v>
      </c>
      <c r="Y244" s="208">
        <v>1074047.03</v>
      </c>
      <c r="Z244" s="208">
        <v>932967.4</v>
      </c>
      <c r="AA244" s="208">
        <v>944915.17</v>
      </c>
    </row>
    <row r="245" spans="10:27" ht="15" customHeight="1" x14ac:dyDescent="0.25">
      <c r="J245" s="206" t="str">
        <f xml:space="preserve"> _xll.EPMOlapMemberO("[COSTCENTER].[PARENTH1].[1001]","","1001","","000")</f>
        <v>1001</v>
      </c>
      <c r="K245" s="207" t="str">
        <f xml:space="preserve"> _xll.EPMOlapMemberO("[C_ACCOUNT].[PARENTH1].[A_2830430]","","A_2830430","","000")</f>
        <v>A_2830430</v>
      </c>
      <c r="L245" s="208" t="str">
        <f>_xll.EPMMemberDesc(K245)</f>
        <v>DIT Liab-FAS 158 - State</v>
      </c>
      <c r="M245" s="208">
        <v>0</v>
      </c>
      <c r="N245" s="208">
        <v>0</v>
      </c>
      <c r="O245" s="208">
        <v>0</v>
      </c>
      <c r="P245" s="208">
        <v>14191559.15</v>
      </c>
      <c r="Q245" s="208">
        <v>14191559.15</v>
      </c>
      <c r="R245" s="208">
        <v>14191559.15</v>
      </c>
      <c r="S245" s="208">
        <v>14191559.15</v>
      </c>
      <c r="T245" s="208">
        <v>14191559.15</v>
      </c>
      <c r="U245" s="208">
        <v>14191559.15</v>
      </c>
      <c r="V245" s="208">
        <v>14191559.15</v>
      </c>
      <c r="W245" s="208">
        <v>14191559.15</v>
      </c>
      <c r="X245" s="208">
        <v>14191559.15</v>
      </c>
      <c r="Y245" s="208">
        <v>14191559.15</v>
      </c>
      <c r="Z245" s="208">
        <v>14191559.15</v>
      </c>
      <c r="AA245" s="208">
        <v>14191559.15</v>
      </c>
    </row>
    <row r="246" spans="10:27" ht="15" customHeight="1" x14ac:dyDescent="0.25">
      <c r="J246" s="206" t="str">
        <f xml:space="preserve"> _xll.EPMOlapMemberO("[COSTCENTER].[PARENTH1].[1001]","","1001","","000")</f>
        <v>1001</v>
      </c>
      <c r="K246" s="207" t="str">
        <f xml:space="preserve"> _xll.EPMOlapMemberO("[C_ACCOUNT].[PARENTH1].[A_2830440]","","A_2830440","","000")</f>
        <v>A_2830440</v>
      </c>
      <c r="L246" s="208" t="str">
        <f>_xll.EPMMemberDesc(K246)</f>
        <v>DIT Liab-FAS 133 - State</v>
      </c>
      <c r="M246" s="208">
        <v>0</v>
      </c>
      <c r="N246" s="208">
        <v>0</v>
      </c>
      <c r="O246" s="208">
        <v>0</v>
      </c>
      <c r="P246" s="208">
        <v>0.2</v>
      </c>
      <c r="Q246" s="208">
        <v>0.2</v>
      </c>
      <c r="R246" s="208">
        <v>0.2</v>
      </c>
      <c r="S246" s="208">
        <v>0.2</v>
      </c>
      <c r="T246" s="208">
        <v>0.2</v>
      </c>
      <c r="U246" s="208">
        <v>0.2</v>
      </c>
      <c r="V246" s="208">
        <v>0.2</v>
      </c>
      <c r="W246" s="208">
        <v>0.2</v>
      </c>
      <c r="X246" s="208">
        <v>0.2</v>
      </c>
      <c r="Y246" s="208">
        <v>0.2</v>
      </c>
      <c r="Z246" s="208">
        <v>0.2</v>
      </c>
      <c r="AA246" s="208">
        <v>0.2</v>
      </c>
    </row>
    <row r="247" spans="10:27" ht="15" customHeight="1" x14ac:dyDescent="0.25">
      <c r="J247" s="206" t="str">
        <f xml:space="preserve"> _xll.EPMOlapMemberO("[COSTCENTER].[PARENTH1].[1001]","","1001","","000")</f>
        <v>1001</v>
      </c>
      <c r="K247" s="207" t="str">
        <f xml:space="preserve"> _xll.EPMOlapMemberO("[C_ACCOUNT].[PARENTH1].[A_2830610]","","A_2830610","","000")</f>
        <v>A_2830610</v>
      </c>
      <c r="L247" s="208" t="str">
        <f>_xll.EPMMemberDesc(K247)</f>
        <v>DIT Liab-FAS109 - Other</v>
      </c>
      <c r="M247" s="208">
        <v>0</v>
      </c>
      <c r="N247" s="208">
        <v>0</v>
      </c>
      <c r="O247" s="208">
        <v>0</v>
      </c>
      <c r="P247" s="208">
        <v>-109754263.5</v>
      </c>
      <c r="Q247" s="208">
        <v>-108861522.04000001</v>
      </c>
      <c r="R247" s="208">
        <v>-109535072.81</v>
      </c>
      <c r="S247" s="208">
        <v>-108594355.17</v>
      </c>
      <c r="T247" s="208">
        <v>-107644645.25</v>
      </c>
      <c r="U247" s="208">
        <v>-106430139.45999999</v>
      </c>
      <c r="V247" s="208">
        <v>-105447192.45</v>
      </c>
      <c r="W247" s="208">
        <v>-104460194.62</v>
      </c>
      <c r="X247" s="208">
        <v>-101535217.94</v>
      </c>
      <c r="Y247" s="208">
        <v>-100530419.73</v>
      </c>
      <c r="Z247" s="208">
        <v>-97650479.75</v>
      </c>
      <c r="AA247" s="208">
        <v>-97364746.890000001</v>
      </c>
    </row>
    <row r="248" spans="10:27" ht="15" customHeight="1" x14ac:dyDescent="0.25">
      <c r="J248" s="206" t="str">
        <f xml:space="preserve"> _xll.EPMOlapMemberO("[COSTCENTER].[PARENTH1].[1001]","","1001","","000")</f>
        <v>1001</v>
      </c>
      <c r="K248" s="207" t="str">
        <f xml:space="preserve"> _xll.EPMOlapMemberO("[C_ACCOUNT].[PARENTH1].[A_2830611]","","A_2830611","","000")</f>
        <v>A_2830611</v>
      </c>
      <c r="L248" s="208" t="str">
        <f>_xll.EPMMemberDesc(K248)</f>
        <v>DIT Liab-Other Gross Up Medicare Part D</v>
      </c>
      <c r="M248" s="208">
        <v>0</v>
      </c>
      <c r="N248" s="208">
        <v>0</v>
      </c>
      <c r="O248" s="208">
        <v>0</v>
      </c>
      <c r="P248" s="208">
        <v>497143.77</v>
      </c>
      <c r="Q248" s="208">
        <v>491506.82</v>
      </c>
      <c r="R248" s="208">
        <v>485869.89</v>
      </c>
      <c r="S248" s="208">
        <v>480232.94</v>
      </c>
      <c r="T248" s="208">
        <v>474595.98</v>
      </c>
      <c r="U248" s="208">
        <v>468959.04</v>
      </c>
      <c r="V248" s="208">
        <v>463322.08</v>
      </c>
      <c r="W248" s="208">
        <v>457685.14</v>
      </c>
      <c r="X248" s="208">
        <v>452048.19</v>
      </c>
      <c r="Y248" s="208">
        <v>446411.25</v>
      </c>
      <c r="Z248" s="208">
        <v>440774.3</v>
      </c>
      <c r="AA248" s="208">
        <v>435137.36</v>
      </c>
    </row>
    <row r="249" spans="10:27" ht="15" customHeight="1" x14ac:dyDescent="0.2">
      <c r="J249" s="202" t="str">
        <f xml:space="preserve"> _xll.EPMOlapMemberO("[COSTCENTER].[PARENTH1].[1001]","","1001","","000")</f>
        <v>1001</v>
      </c>
      <c r="K249" s="205" t="str">
        <f xml:space="preserve"> _xll.EPMOlapMemberO("[C_ACCOUNT].[PARENTH1].[DEF_CR_OTH_LIA]","","DEF_CR_OTH_LIA","","000")</f>
        <v>DEF_CR_OTH_LIA</v>
      </c>
      <c r="L249" s="202" t="str">
        <f>_xll.EPMMemberDesc(K249)</f>
        <v>Deferred Credits and other liabilities</v>
      </c>
      <c r="M249" s="203">
        <v>0</v>
      </c>
      <c r="N249" s="203">
        <v>0</v>
      </c>
      <c r="O249" s="203">
        <v>0</v>
      </c>
      <c r="P249" s="203">
        <v>245142823.45063281</v>
      </c>
      <c r="Q249" s="203">
        <v>245981965.6648317</v>
      </c>
      <c r="R249" s="203">
        <v>243350597.22715229</v>
      </c>
      <c r="S249" s="203">
        <v>238145112.4374769</v>
      </c>
      <c r="T249" s="203">
        <v>238759039.46330309</v>
      </c>
      <c r="U249" s="203">
        <v>240296365.35520589</v>
      </c>
      <c r="V249" s="203">
        <v>235241534.204566</v>
      </c>
      <c r="W249" s="203">
        <v>235856187.34937289</v>
      </c>
      <c r="X249" s="203">
        <v>232245874.26150131</v>
      </c>
      <c r="Y249" s="203">
        <v>232861627.78398809</v>
      </c>
      <c r="Z249" s="203">
        <v>233477863.3768374</v>
      </c>
      <c r="AA249" s="203">
        <v>235538143.85429829</v>
      </c>
    </row>
    <row r="250" spans="10:27" ht="15" customHeight="1" x14ac:dyDescent="0.2">
      <c r="J250" s="202" t="str">
        <f xml:space="preserve"> _xll.EPMOlapMemberO("[COSTCENTER].[PARENTH1].[1001]","","1001","","000")</f>
        <v>1001</v>
      </c>
      <c r="K250" s="209" t="str">
        <f xml:space="preserve"> _xll.EPMOlapMemberO("[C_ACCOUNT].[PARENTH1].[DEF_CR_OTH_LIA_L]","","DEF_CR_OTH_LIA_L","","000")</f>
        <v>DEF_CR_OTH_LIA_L</v>
      </c>
      <c r="L250" s="202" t="str">
        <f>_xll.EPMMemberDesc(K250)</f>
        <v>Deferred credits and other liabilities</v>
      </c>
      <c r="M250" s="203">
        <v>0</v>
      </c>
      <c r="N250" s="203">
        <v>0</v>
      </c>
      <c r="O250" s="203">
        <v>0</v>
      </c>
      <c r="P250" s="203">
        <v>15454139.660837401</v>
      </c>
      <c r="Q250" s="203">
        <v>15461663.7608374</v>
      </c>
      <c r="R250" s="203">
        <v>12080183.292238001</v>
      </c>
      <c r="S250" s="203">
        <v>12088064.142238</v>
      </c>
      <c r="T250" s="203">
        <v>12095853.642238</v>
      </c>
      <c r="U250" s="203">
        <v>13014173.5631855</v>
      </c>
      <c r="V250" s="203">
        <v>12572044.103185499</v>
      </c>
      <c r="W250" s="203">
        <v>12579899.953185501</v>
      </c>
      <c r="X250" s="203">
        <v>13673286.224133</v>
      </c>
      <c r="Y250" s="203">
        <v>13681233.424133001</v>
      </c>
      <c r="Z250" s="203">
        <v>13689155.624133</v>
      </c>
      <c r="AA250" s="203">
        <v>14782608.2450804</v>
      </c>
    </row>
    <row r="251" spans="10:27" ht="15" customHeight="1" x14ac:dyDescent="0.25">
      <c r="J251" s="206" t="str">
        <f xml:space="preserve"> _xll.EPMOlapMemberO("[COSTCENTER].[PARENTH1].[1001]","","1001","","000")</f>
        <v>1001</v>
      </c>
      <c r="K251" s="210" t="str">
        <f xml:space="preserve"> _xll.EPMOlapMemberO("[C_ACCOUNT].[PARENTH1].[A_2282010]","","A_2282010","","000")</f>
        <v>A_2282010</v>
      </c>
      <c r="L251" s="208" t="str">
        <f>_xll.EPMMemberDesc(K251)</f>
        <v>I&amp;D General Liability Reserve</v>
      </c>
      <c r="M251" s="208">
        <v>0</v>
      </c>
      <c r="N251" s="208">
        <v>0</v>
      </c>
      <c r="O251" s="208">
        <v>0</v>
      </c>
      <c r="P251" s="208">
        <v>6291560</v>
      </c>
      <c r="Q251" s="208">
        <v>6291560</v>
      </c>
      <c r="R251" s="208">
        <v>6291560</v>
      </c>
      <c r="S251" s="208">
        <v>6291560</v>
      </c>
      <c r="T251" s="208">
        <v>6291560</v>
      </c>
      <c r="U251" s="208">
        <v>6291560</v>
      </c>
      <c r="V251" s="208">
        <v>5859161</v>
      </c>
      <c r="W251" s="208">
        <v>5859161</v>
      </c>
      <c r="X251" s="208">
        <v>5859161</v>
      </c>
      <c r="Y251" s="208">
        <v>5859161</v>
      </c>
      <c r="Z251" s="208">
        <v>5859161</v>
      </c>
      <c r="AA251" s="208">
        <v>5859161</v>
      </c>
    </row>
    <row r="252" spans="10:27" ht="15" customHeight="1" x14ac:dyDescent="0.25">
      <c r="J252" s="206" t="str">
        <f xml:space="preserve"> _xll.EPMOlapMemberO("[COSTCENTER].[PARENTH1].[1001]","","1001","","000")</f>
        <v>1001</v>
      </c>
      <c r="K252" s="210" t="str">
        <f xml:space="preserve"> _xll.EPMOlapMemberO("[C_ACCOUNT].[PARENTH1].[A_2282020]","","A_2282020","","000")</f>
        <v>A_2282020</v>
      </c>
      <c r="L252" s="208" t="str">
        <f>_xll.EPMMemberDesc(K252)</f>
        <v>I&amp;D Workers Compensation Reserve</v>
      </c>
      <c r="M252" s="208">
        <v>0</v>
      </c>
      <c r="N252" s="208">
        <v>0</v>
      </c>
      <c r="O252" s="208">
        <v>0</v>
      </c>
      <c r="P252" s="208">
        <v>3214412</v>
      </c>
      <c r="Q252" s="208">
        <v>3214412</v>
      </c>
      <c r="R252" s="208">
        <v>3214412</v>
      </c>
      <c r="S252" s="208">
        <v>3214412</v>
      </c>
      <c r="T252" s="208">
        <v>3214412</v>
      </c>
      <c r="U252" s="208">
        <v>3214412</v>
      </c>
      <c r="V252" s="208">
        <v>3201801</v>
      </c>
      <c r="W252" s="208">
        <v>3201801</v>
      </c>
      <c r="X252" s="208">
        <v>3201801</v>
      </c>
      <c r="Y252" s="208">
        <v>3201801</v>
      </c>
      <c r="Z252" s="208">
        <v>3201801</v>
      </c>
      <c r="AA252" s="208">
        <v>3201801</v>
      </c>
    </row>
    <row r="253" spans="10:27" ht="15" customHeight="1" x14ac:dyDescent="0.25">
      <c r="J253" s="206" t="str">
        <f xml:space="preserve"> _xll.EPMOlapMemberO("[COSTCENTER].[PARENTH1].[1001]","","1001","","000")</f>
        <v>1001</v>
      </c>
      <c r="K253" s="210" t="str">
        <f xml:space="preserve"> _xll.EPMOlapMemberO("[C_ACCOUNT].[PARENTH1].[A_2282040]","","A_2282040","","000")</f>
        <v>A_2282040</v>
      </c>
      <c r="L253" s="208" t="str">
        <f>_xll.EPMMemberDesc(K253)</f>
        <v>I&amp;D Longshore Reserve</v>
      </c>
      <c r="M253" s="208">
        <v>0</v>
      </c>
      <c r="N253" s="208">
        <v>0</v>
      </c>
      <c r="O253" s="208">
        <v>0</v>
      </c>
      <c r="P253" s="208">
        <v>93929.31</v>
      </c>
      <c r="Q253" s="208">
        <v>93929.31</v>
      </c>
      <c r="R253" s="208">
        <v>93929.31</v>
      </c>
      <c r="S253" s="208">
        <v>93929.31</v>
      </c>
      <c r="T253" s="208">
        <v>93929.31</v>
      </c>
      <c r="U253" s="208">
        <v>93929.31</v>
      </c>
      <c r="V253" s="208">
        <v>88929</v>
      </c>
      <c r="W253" s="208">
        <v>88929</v>
      </c>
      <c r="X253" s="208">
        <v>88929</v>
      </c>
      <c r="Y253" s="208">
        <v>88929</v>
      </c>
      <c r="Z253" s="208">
        <v>88929</v>
      </c>
      <c r="AA253" s="208">
        <v>88929</v>
      </c>
    </row>
    <row r="254" spans="10:27" ht="15" customHeight="1" x14ac:dyDescent="0.25">
      <c r="J254" s="206" t="str">
        <f xml:space="preserve"> _xll.EPMOlapMemberO("[COSTCENTER].[PARENTH1].[1001]","","1001","","000")</f>
        <v>1001</v>
      </c>
      <c r="K254" s="210" t="str">
        <f xml:space="preserve"> _xll.EPMOlapMemberO("[C_ACCOUNT].[PARENTH1].[A_2530302]","","A_2530302","","000")</f>
        <v>A_2530302</v>
      </c>
      <c r="L254" s="208" t="str">
        <f>_xll.EPMMemberDesc(K254)</f>
        <v>Oth Defd CR-Renewable</v>
      </c>
      <c r="M254" s="208">
        <v>0</v>
      </c>
      <c r="N254" s="208">
        <v>0</v>
      </c>
      <c r="O254" s="208">
        <v>0</v>
      </c>
      <c r="P254" s="208">
        <v>339497.87212999997</v>
      </c>
      <c r="Q254" s="208">
        <v>347021.97213000001</v>
      </c>
      <c r="R254" s="208">
        <v>354504.72213000001</v>
      </c>
      <c r="S254" s="208">
        <v>362385.57212999999</v>
      </c>
      <c r="T254" s="208">
        <v>370175.07212999999</v>
      </c>
      <c r="U254" s="208">
        <v>202989.57212999999</v>
      </c>
      <c r="V254" s="208">
        <v>210870.42212999999</v>
      </c>
      <c r="W254" s="208">
        <v>218726.27213</v>
      </c>
      <c r="X254" s="208">
        <v>226607.12213</v>
      </c>
      <c r="Y254" s="208">
        <v>234554.32212999999</v>
      </c>
      <c r="Z254" s="208">
        <v>242476.52213</v>
      </c>
      <c r="AA254" s="208">
        <v>250423.72213000001</v>
      </c>
    </row>
    <row r="255" spans="10:27" ht="15" customHeight="1" x14ac:dyDescent="0.25">
      <c r="J255" s="206" t="str">
        <f xml:space="preserve"> _xll.EPMOlapMemberO("[COSTCENTER].[PARENTH1].[1001]","","1001","","000")</f>
        <v>1001</v>
      </c>
      <c r="K255" s="210" t="str">
        <f xml:space="preserve"> _xll.EPMOlapMemberO("[C_ACCOUNT].[PARENTH1].[A_2530310]","","A_2530310","","000")</f>
        <v>A_2530310</v>
      </c>
      <c r="L255" s="208" t="str">
        <f>_xll.EPMMemberDesc(K255)</f>
        <v>Oth Defd CR-Unclaimed Items</v>
      </c>
      <c r="M255" s="208">
        <v>0</v>
      </c>
      <c r="N255" s="208">
        <v>0</v>
      </c>
      <c r="O255" s="208">
        <v>0</v>
      </c>
      <c r="P255" s="208">
        <v>42779.82</v>
      </c>
      <c r="Q255" s="208">
        <v>42779.82</v>
      </c>
      <c r="R255" s="208">
        <v>42779.82</v>
      </c>
      <c r="S255" s="208">
        <v>42779.82</v>
      </c>
      <c r="T255" s="208">
        <v>42779.82</v>
      </c>
      <c r="U255" s="208">
        <v>42779.82</v>
      </c>
      <c r="V255" s="208">
        <v>42779.82</v>
      </c>
      <c r="W255" s="208">
        <v>42779.82</v>
      </c>
      <c r="X255" s="208">
        <v>42779.82</v>
      </c>
      <c r="Y255" s="208">
        <v>42779.82</v>
      </c>
      <c r="Z255" s="208">
        <v>42779.82</v>
      </c>
      <c r="AA255" s="208">
        <v>42779.82</v>
      </c>
    </row>
    <row r="256" spans="10:27" ht="15" customHeight="1" x14ac:dyDescent="0.25">
      <c r="J256" s="206" t="str">
        <f xml:space="preserve"> _xll.EPMOlapMemberO("[COSTCENTER].[PARENTH1].[1001]","","1001","","000")</f>
        <v>1001</v>
      </c>
      <c r="K256" s="210" t="str">
        <f xml:space="preserve"> _xll.EPMOlapMemberO("[C_ACCOUNT].[PARENTH1].[A_2530340]","","A_2530340","","000")</f>
        <v>A_2530340</v>
      </c>
      <c r="L256" s="208" t="str">
        <f>_xll.EPMMemberDesc(K256)</f>
        <v>Oth Defd CR Long-term incentive</v>
      </c>
      <c r="M256" s="208">
        <v>0</v>
      </c>
      <c r="N256" s="208">
        <v>0</v>
      </c>
      <c r="O256" s="208">
        <v>0</v>
      </c>
      <c r="P256" s="208">
        <v>6779497.9387074001</v>
      </c>
      <c r="Q256" s="208">
        <v>6779497.9387074001</v>
      </c>
      <c r="R256" s="208">
        <v>3390534.7201080001</v>
      </c>
      <c r="S256" s="208">
        <v>3390534.7201080001</v>
      </c>
      <c r="T256" s="208">
        <v>3390534.7201080001</v>
      </c>
      <c r="U256" s="208">
        <v>4476040.1410555001</v>
      </c>
      <c r="V256" s="208">
        <v>4476040.1410555001</v>
      </c>
      <c r="W256" s="208">
        <v>4476040.1410555001</v>
      </c>
      <c r="X256" s="208">
        <v>5561545.5620029997</v>
      </c>
      <c r="Y256" s="208">
        <v>5561545.5620029997</v>
      </c>
      <c r="Z256" s="208">
        <v>5561545.5620029997</v>
      </c>
      <c r="AA256" s="208">
        <v>6647050.9829503996</v>
      </c>
    </row>
    <row r="257" spans="10:27" ht="15" customHeight="1" x14ac:dyDescent="0.25">
      <c r="J257" s="206" t="str">
        <f xml:space="preserve"> _xll.EPMOlapMemberO("[COSTCENTER].[PARENTH1].[1001]","","1001","","000")</f>
        <v>1001</v>
      </c>
      <c r="K257" s="210" t="str">
        <f xml:space="preserve"> _xll.EPMOlapMemberO("[C_ACCOUNT].[PARENTH1].[A_2530800]","","A_2530800","","000")</f>
        <v>A_2530800</v>
      </c>
      <c r="L257" s="208" t="str">
        <f>_xll.EPMMemberDesc(K257)</f>
        <v>Oth Defd CR-Miscellaneous</v>
      </c>
      <c r="M257" s="208">
        <v>0</v>
      </c>
      <c r="N257" s="208">
        <v>0</v>
      </c>
      <c r="O257" s="208">
        <v>0</v>
      </c>
      <c r="P257" s="208">
        <v>-1307537.28</v>
      </c>
      <c r="Q257" s="208">
        <v>-1307537.28</v>
      </c>
      <c r="R257" s="208">
        <v>-1307537.28</v>
      </c>
      <c r="S257" s="208">
        <v>-1307537.28</v>
      </c>
      <c r="T257" s="208">
        <v>-1307537.28</v>
      </c>
      <c r="U257" s="208">
        <v>-1307537.28</v>
      </c>
      <c r="V257" s="208">
        <v>-1307537.28</v>
      </c>
      <c r="W257" s="208">
        <v>-1307537.28</v>
      </c>
      <c r="X257" s="208">
        <v>-1307537.28</v>
      </c>
      <c r="Y257" s="208">
        <v>-1307537.28</v>
      </c>
      <c r="Z257" s="208">
        <v>-1307537.28</v>
      </c>
      <c r="AA257" s="208">
        <v>-1307537.28</v>
      </c>
    </row>
    <row r="258" spans="10:27" ht="15" customHeight="1" x14ac:dyDescent="0.2">
      <c r="J258" s="202" t="str">
        <f xml:space="preserve"> _xll.EPMOlapMemberO("[COSTCENTER].[PARENTH1].[1001]","","1001","","000")</f>
        <v>1001</v>
      </c>
      <c r="K258" s="209" t="str">
        <f xml:space="preserve"> _xll.EPMOlapMemberO("[C_ACCOUNT].[PARENTH1].[DEF_CR_BEN]","","DEF_CR_BEN","","000")</f>
        <v>DEF_CR_BEN</v>
      </c>
      <c r="L258" s="202" t="str">
        <f>_xll.EPMMemberDesc(K258)</f>
        <v>Deferred credits - benefit related</v>
      </c>
      <c r="M258" s="203">
        <v>0</v>
      </c>
      <c r="N258" s="203">
        <v>0</v>
      </c>
      <c r="O258" s="203">
        <v>0</v>
      </c>
      <c r="P258" s="203">
        <v>167130980.5</v>
      </c>
      <c r="Q258" s="203">
        <v>167915567.5</v>
      </c>
      <c r="R258" s="203">
        <v>168618155.5</v>
      </c>
      <c r="S258" s="203">
        <v>163358744.5</v>
      </c>
      <c r="T258" s="203">
        <v>163918344.5</v>
      </c>
      <c r="U258" s="203">
        <v>164490317.5</v>
      </c>
      <c r="V258" s="203">
        <v>159830917.5</v>
      </c>
      <c r="W258" s="203">
        <v>160390517.5</v>
      </c>
      <c r="X258" s="203">
        <v>155639118.5</v>
      </c>
      <c r="Y258" s="203">
        <v>156198719.5</v>
      </c>
      <c r="Z258" s="203">
        <v>156758318.5</v>
      </c>
      <c r="AA258" s="203">
        <v>157675919.5</v>
      </c>
    </row>
    <row r="259" spans="10:27" ht="15" customHeight="1" x14ac:dyDescent="0.25">
      <c r="J259" s="206" t="str">
        <f xml:space="preserve"> _xll.EPMOlapMemberO("[COSTCENTER].[PARENTH1].[1001]","","1001","","000")</f>
        <v>1001</v>
      </c>
      <c r="K259" s="210" t="str">
        <f xml:space="preserve"> _xll.EPMOlapMemberO("[C_ACCOUNT].[PARENTH1].[A_2283200]","","A_2283200","","000")</f>
        <v>A_2283200</v>
      </c>
      <c r="L259" s="208" t="str">
        <f>_xll.EPMMemberDesc(K259)</f>
        <v>Pension Liability - Non-Current</v>
      </c>
      <c r="M259" s="208">
        <v>0</v>
      </c>
      <c r="N259" s="208">
        <v>0</v>
      </c>
      <c r="O259" s="208">
        <v>0</v>
      </c>
      <c r="P259" s="208">
        <v>-193150854</v>
      </c>
      <c r="Q259" s="208">
        <v>-192365654</v>
      </c>
      <c r="R259" s="208">
        <v>-191580455</v>
      </c>
      <c r="S259" s="208">
        <v>-196614255</v>
      </c>
      <c r="T259" s="208">
        <v>-195829055</v>
      </c>
      <c r="U259" s="208">
        <v>-195043855</v>
      </c>
      <c r="V259" s="208">
        <v>-200077656</v>
      </c>
      <c r="W259" s="208">
        <v>-199292456</v>
      </c>
      <c r="X259" s="208">
        <v>-204326256</v>
      </c>
      <c r="Y259" s="208">
        <v>-203541056</v>
      </c>
      <c r="Z259" s="208">
        <v>-202755857</v>
      </c>
      <c r="AA259" s="208">
        <v>-201970657</v>
      </c>
    </row>
    <row r="260" spans="10:27" ht="15" customHeight="1" x14ac:dyDescent="0.25">
      <c r="J260" s="206" t="str">
        <f xml:space="preserve"> _xll.EPMOlapMemberO("[COSTCENTER].[PARENTH1].[1001]","","1001","","000")</f>
        <v>1001</v>
      </c>
      <c r="K260" s="210" t="str">
        <f xml:space="preserve"> _xll.EPMOlapMemberO("[C_ACCOUNT].[PARENTH1].[A_2283201]","","A_2283201","","000")</f>
        <v>A_2283201</v>
      </c>
      <c r="L260" s="208" t="str">
        <f>_xll.EPMMemberDesc(K260)</f>
        <v>Pension Liability FAS158 - Non-Current</v>
      </c>
      <c r="M260" s="208">
        <v>0</v>
      </c>
      <c r="N260" s="208">
        <v>0</v>
      </c>
      <c r="O260" s="208">
        <v>0</v>
      </c>
      <c r="P260" s="208">
        <v>204980612</v>
      </c>
      <c r="Q260" s="208">
        <v>204980612</v>
      </c>
      <c r="R260" s="208">
        <v>204980612</v>
      </c>
      <c r="S260" s="208">
        <v>204980612</v>
      </c>
      <c r="T260" s="208">
        <v>204980612</v>
      </c>
      <c r="U260" s="208">
        <v>204980612</v>
      </c>
      <c r="V260" s="208">
        <v>204980612</v>
      </c>
      <c r="W260" s="208">
        <v>204980612</v>
      </c>
      <c r="X260" s="208">
        <v>204980612</v>
      </c>
      <c r="Y260" s="208">
        <v>204980612</v>
      </c>
      <c r="Z260" s="208">
        <v>204980612</v>
      </c>
      <c r="AA260" s="208">
        <v>204980612</v>
      </c>
    </row>
    <row r="261" spans="10:27" ht="15" customHeight="1" x14ac:dyDescent="0.25">
      <c r="J261" s="206" t="str">
        <f xml:space="preserve"> _xll.EPMOlapMemberO("[COSTCENTER].[PARENTH1].[1001]","","1001","","000")</f>
        <v>1001</v>
      </c>
      <c r="K261" s="210" t="str">
        <f xml:space="preserve"> _xll.EPMOlapMemberO("[C_ACCOUNT].[PARENTH1].[A_2283210]","","A_2283210","","000")</f>
        <v>A_2283210</v>
      </c>
      <c r="L261" s="208" t="str">
        <f>_xll.EPMMemberDesc(K261)</f>
        <v>SERP Liability - Non-Current</v>
      </c>
      <c r="M261" s="208">
        <v>0</v>
      </c>
      <c r="N261" s="208">
        <v>0</v>
      </c>
      <c r="O261" s="208">
        <v>0</v>
      </c>
      <c r="P261" s="208">
        <v>4336721</v>
      </c>
      <c r="Q261" s="208">
        <v>4299872</v>
      </c>
      <c r="R261" s="208">
        <v>4263023</v>
      </c>
      <c r="S261" s="208">
        <v>4226175</v>
      </c>
      <c r="T261" s="208">
        <v>4189326</v>
      </c>
      <c r="U261" s="208">
        <v>4152478</v>
      </c>
      <c r="V261" s="208">
        <v>4115629</v>
      </c>
      <c r="W261" s="208">
        <v>4078780</v>
      </c>
      <c r="X261" s="208">
        <v>4041932</v>
      </c>
      <c r="Y261" s="208">
        <v>4005083</v>
      </c>
      <c r="Z261" s="208">
        <v>3968234</v>
      </c>
      <c r="AA261" s="208">
        <v>3931386</v>
      </c>
    </row>
    <row r="262" spans="10:27" ht="15" customHeight="1" x14ac:dyDescent="0.25">
      <c r="J262" s="206" t="str">
        <f xml:space="preserve"> _xll.EPMOlapMemberO("[COSTCENTER].[PARENTH1].[1001]","","1001","","000")</f>
        <v>1001</v>
      </c>
      <c r="K262" s="210" t="str">
        <f xml:space="preserve"> _xll.EPMOlapMemberO("[C_ACCOUNT].[PARENTH1].[A_2283211]","","A_2283211","","000")</f>
        <v>A_2283211</v>
      </c>
      <c r="L262" s="208" t="str">
        <f>_xll.EPMMemberDesc(K262)</f>
        <v>SERP Liability FAS158 - Non-Current</v>
      </c>
      <c r="M262" s="208">
        <v>0</v>
      </c>
      <c r="N262" s="208">
        <v>0</v>
      </c>
      <c r="O262" s="208">
        <v>0</v>
      </c>
      <c r="P262" s="208">
        <v>2242628</v>
      </c>
      <c r="Q262" s="208">
        <v>2242628</v>
      </c>
      <c r="R262" s="208">
        <v>2242628</v>
      </c>
      <c r="S262" s="208">
        <v>2242628</v>
      </c>
      <c r="T262" s="208">
        <v>2242628</v>
      </c>
      <c r="U262" s="208">
        <v>2242628</v>
      </c>
      <c r="V262" s="208">
        <v>2242628</v>
      </c>
      <c r="W262" s="208">
        <v>2242628</v>
      </c>
      <c r="X262" s="208">
        <v>2242628</v>
      </c>
      <c r="Y262" s="208">
        <v>2242628</v>
      </c>
      <c r="Z262" s="208">
        <v>2242628</v>
      </c>
      <c r="AA262" s="208">
        <v>2242628</v>
      </c>
    </row>
    <row r="263" spans="10:27" ht="15" customHeight="1" x14ac:dyDescent="0.25">
      <c r="J263" s="206" t="str">
        <f xml:space="preserve"> _xll.EPMOlapMemberO("[COSTCENTER].[PARENTH1].[1001]","","1001","","000")</f>
        <v>1001</v>
      </c>
      <c r="K263" s="210" t="str">
        <f xml:space="preserve"> _xll.EPMOlapMemberO("[C_ACCOUNT].[PARENTH1].[A_2283220]","","A_2283220","","000")</f>
        <v>A_2283220</v>
      </c>
      <c r="L263" s="208" t="str">
        <f>_xll.EPMMemberDesc(K263)</f>
        <v>Restoration Benefit Plan Liability - Non-Current</v>
      </c>
      <c r="M263" s="208">
        <v>0</v>
      </c>
      <c r="N263" s="208">
        <v>0</v>
      </c>
      <c r="O263" s="208">
        <v>0</v>
      </c>
      <c r="P263" s="208">
        <v>127951</v>
      </c>
      <c r="Q263" s="208">
        <v>151417</v>
      </c>
      <c r="R263" s="208">
        <v>174883</v>
      </c>
      <c r="S263" s="208">
        <v>198349</v>
      </c>
      <c r="T263" s="208">
        <v>221815</v>
      </c>
      <c r="U263" s="208">
        <v>249653</v>
      </c>
      <c r="V263" s="208">
        <v>273119</v>
      </c>
      <c r="W263" s="208">
        <v>296585</v>
      </c>
      <c r="X263" s="208">
        <v>320051</v>
      </c>
      <c r="Y263" s="208">
        <v>343517</v>
      </c>
      <c r="Z263" s="208">
        <v>366983</v>
      </c>
      <c r="AA263" s="208">
        <v>390449</v>
      </c>
    </row>
    <row r="264" spans="10:27" ht="15" customHeight="1" x14ac:dyDescent="0.25">
      <c r="J264" s="206" t="str">
        <f xml:space="preserve"> _xll.EPMOlapMemberO("[COSTCENTER].[PARENTH1].[1001]","","1001","","000")</f>
        <v>1001</v>
      </c>
      <c r="K264" s="210" t="str">
        <f xml:space="preserve"> _xll.EPMOlapMemberO("[C_ACCOUNT].[PARENTH1].[A_2283221]","","A_2283221","","000")</f>
        <v>A_2283221</v>
      </c>
      <c r="L264" s="208" t="str">
        <f>_xll.EPMMemberDesc(K264)</f>
        <v>Restoration Benefit Plan Liab FAS158 - Non-Current</v>
      </c>
      <c r="M264" s="208">
        <v>0</v>
      </c>
      <c r="N264" s="208">
        <v>0</v>
      </c>
      <c r="O264" s="208">
        <v>0</v>
      </c>
      <c r="P264" s="208">
        <v>1392747.5</v>
      </c>
      <c r="Q264" s="208">
        <v>1392747.5</v>
      </c>
      <c r="R264" s="208">
        <v>1392747.5</v>
      </c>
      <c r="S264" s="208">
        <v>1392747.5</v>
      </c>
      <c r="T264" s="208">
        <v>1392747.5</v>
      </c>
      <c r="U264" s="208">
        <v>1392747.5</v>
      </c>
      <c r="V264" s="208">
        <v>1392747.5</v>
      </c>
      <c r="W264" s="208">
        <v>1392747.5</v>
      </c>
      <c r="X264" s="208">
        <v>1392747.5</v>
      </c>
      <c r="Y264" s="208">
        <v>1392747.5</v>
      </c>
      <c r="Z264" s="208">
        <v>1392747.5</v>
      </c>
      <c r="AA264" s="208">
        <v>1392747.5</v>
      </c>
    </row>
    <row r="265" spans="10:27" ht="15" customHeight="1" x14ac:dyDescent="0.25">
      <c r="J265" s="206" t="str">
        <f xml:space="preserve"> _xll.EPMOlapMemberO("[COSTCENTER].[PARENTH1].[1001]","","1001","","000")</f>
        <v>1001</v>
      </c>
      <c r="K265" s="210" t="str">
        <f xml:space="preserve"> _xll.EPMOlapMemberO("[C_ACCOUNT].[PARENTH1].[A_2283231]","","A_2283231","","000")</f>
        <v>A_2283231</v>
      </c>
      <c r="L265" s="208" t="str">
        <f>_xll.EPMMemberDesc(K265)</f>
        <v>FAS106 Liability FAS158 - Non-Current</v>
      </c>
      <c r="M265" s="208">
        <v>0</v>
      </c>
      <c r="N265" s="208">
        <v>0</v>
      </c>
      <c r="O265" s="208">
        <v>0</v>
      </c>
      <c r="P265" s="208">
        <v>39305608</v>
      </c>
      <c r="Q265" s="208">
        <v>39305608</v>
      </c>
      <c r="R265" s="208">
        <v>39305608</v>
      </c>
      <c r="S265" s="208">
        <v>39305608</v>
      </c>
      <c r="T265" s="208">
        <v>39305608</v>
      </c>
      <c r="U265" s="208">
        <v>39305608</v>
      </c>
      <c r="V265" s="208">
        <v>39305608</v>
      </c>
      <c r="W265" s="208">
        <v>39305608</v>
      </c>
      <c r="X265" s="208">
        <v>39305608</v>
      </c>
      <c r="Y265" s="208">
        <v>39305608</v>
      </c>
      <c r="Z265" s="208">
        <v>39305608</v>
      </c>
      <c r="AA265" s="208">
        <v>39305608</v>
      </c>
    </row>
    <row r="266" spans="10:27" ht="15" customHeight="1" x14ac:dyDescent="0.25">
      <c r="J266" s="206" t="str">
        <f xml:space="preserve"> _xll.EPMOlapMemberO("[COSTCENTER].[PARENTH1].[1001]","","1001","","000")</f>
        <v>1001</v>
      </c>
      <c r="K266" s="210" t="str">
        <f xml:space="preserve"> _xll.EPMOlapMemberO("[C_ACCOUNT].[PARENTH1].[A_2283232]","","A_2283232","","000")</f>
        <v>A_2283232</v>
      </c>
      <c r="L266" s="208" t="str">
        <f>_xll.EPMMemberDesc(K266)</f>
        <v>FAS106 Liability-Retired - Non-Current</v>
      </c>
      <c r="M266" s="208">
        <v>0</v>
      </c>
      <c r="N266" s="208">
        <v>0</v>
      </c>
      <c r="O266" s="208">
        <v>0</v>
      </c>
      <c r="P266" s="208">
        <v>95320851</v>
      </c>
      <c r="Q266" s="208">
        <v>95261686</v>
      </c>
      <c r="R266" s="208">
        <v>95302522</v>
      </c>
      <c r="S266" s="208">
        <v>95243358</v>
      </c>
      <c r="T266" s="208">
        <v>95184193</v>
      </c>
      <c r="U266" s="208">
        <v>95125029</v>
      </c>
      <c r="V266" s="208">
        <v>95165865</v>
      </c>
      <c r="W266" s="208">
        <v>95106700</v>
      </c>
      <c r="X266" s="208">
        <v>95247536</v>
      </c>
      <c r="Y266" s="208">
        <v>95188372</v>
      </c>
      <c r="Z266" s="208">
        <v>95129207</v>
      </c>
      <c r="AA266" s="208">
        <v>95120043</v>
      </c>
    </row>
    <row r="267" spans="10:27" ht="15" customHeight="1" x14ac:dyDescent="0.25">
      <c r="J267" s="206" t="str">
        <f xml:space="preserve"> _xll.EPMOlapMemberO("[COSTCENTER].[PARENTH1].[1001]","","1001","","000")</f>
        <v>1001</v>
      </c>
      <c r="K267" s="210" t="str">
        <f xml:space="preserve"> _xll.EPMOlapMemberO("[C_ACCOUNT].[PARENTH1].[A_2283240]","","A_2283240","","000")</f>
        <v>A_2283240</v>
      </c>
      <c r="L267" s="208" t="str">
        <f>_xll.EPMMemberDesc(K267)</f>
        <v>FAS112 Liab for Long-term Disability - Non-Current</v>
      </c>
      <c r="M267" s="208">
        <v>0</v>
      </c>
      <c r="N267" s="208">
        <v>0</v>
      </c>
      <c r="O267" s="208">
        <v>0</v>
      </c>
      <c r="P267" s="208">
        <v>12574716</v>
      </c>
      <c r="Q267" s="208">
        <v>12646651</v>
      </c>
      <c r="R267" s="208">
        <v>12536587</v>
      </c>
      <c r="S267" s="208">
        <v>12383522</v>
      </c>
      <c r="T267" s="208">
        <v>12230470</v>
      </c>
      <c r="U267" s="208">
        <v>12085417</v>
      </c>
      <c r="V267" s="208">
        <v>12432365</v>
      </c>
      <c r="W267" s="208">
        <v>12279313</v>
      </c>
      <c r="X267" s="208">
        <v>12434260</v>
      </c>
      <c r="Y267" s="208">
        <v>12281208</v>
      </c>
      <c r="Z267" s="208">
        <v>12128156</v>
      </c>
      <c r="AA267" s="208">
        <v>12283103</v>
      </c>
    </row>
    <row r="268" spans="10:27" ht="15" customHeight="1" x14ac:dyDescent="0.2">
      <c r="J268" s="202" t="str">
        <f xml:space="preserve"> _xll.EPMOlapMemberO("[COSTCENTER].[PARENTH1].[1001]","","1001","","000")</f>
        <v>1001</v>
      </c>
      <c r="K268" s="209" t="str">
        <f xml:space="preserve"> _xll.EPMOlapMemberO("[C_ACCOUNT].[PARENTH1].[ARO_OBL_NC]","","ARO_OBL_NC","","000")</f>
        <v>ARO_OBL_NC</v>
      </c>
      <c r="L268" s="202" t="str">
        <f>_xll.EPMMemberDesc(K268)</f>
        <v>ARO Obligation - Non-current</v>
      </c>
      <c r="M268" s="203">
        <v>0</v>
      </c>
      <c r="N268" s="203">
        <v>0</v>
      </c>
      <c r="O268" s="203">
        <v>0</v>
      </c>
      <c r="P268" s="203">
        <v>37461468.839795403</v>
      </c>
      <c r="Q268" s="203">
        <v>37648776.183994301</v>
      </c>
      <c r="R268" s="203">
        <v>37837020.064914301</v>
      </c>
      <c r="S268" s="203">
        <v>38026205.165238902</v>
      </c>
      <c r="T268" s="203">
        <v>38216336.191065103</v>
      </c>
      <c r="U268" s="203">
        <v>38407417.872020401</v>
      </c>
      <c r="V268" s="203">
        <v>38599454.961380497</v>
      </c>
      <c r="W268" s="203">
        <v>38792452.236187398</v>
      </c>
      <c r="X268" s="203">
        <v>38986414.497368298</v>
      </c>
      <c r="Y268" s="203">
        <v>39181346.569855101</v>
      </c>
      <c r="Z268" s="203">
        <v>39377253.302704401</v>
      </c>
      <c r="AA268" s="203">
        <v>39574139.569217898</v>
      </c>
    </row>
    <row r="269" spans="10:27" ht="15" customHeight="1" x14ac:dyDescent="0.25">
      <c r="J269" s="206" t="str">
        <f xml:space="preserve"> _xll.EPMOlapMemberO("[COSTCENTER].[PARENTH1].[1001]","","1001","","000")</f>
        <v>1001</v>
      </c>
      <c r="K269" s="210" t="str">
        <f xml:space="preserve"> _xll.EPMOlapMemberO("[C_ACCOUNT].[PARENTH1].[A_2300200]","","A_2300200","","000")</f>
        <v>A_2300200</v>
      </c>
      <c r="L269" s="208" t="str">
        <f>_xll.EPMMemberDesc(K269)</f>
        <v>Asset Retirement Obligations - Long-term</v>
      </c>
      <c r="M269" s="208">
        <v>0</v>
      </c>
      <c r="N269" s="208">
        <v>0</v>
      </c>
      <c r="O269" s="208">
        <v>0</v>
      </c>
      <c r="P269" s="208">
        <v>37461468.839795403</v>
      </c>
      <c r="Q269" s="208">
        <v>37648776.183994301</v>
      </c>
      <c r="R269" s="208">
        <v>37837020.064914301</v>
      </c>
      <c r="S269" s="208">
        <v>38026205.165238902</v>
      </c>
      <c r="T269" s="208">
        <v>38216336.191065103</v>
      </c>
      <c r="U269" s="208">
        <v>38407417.872020401</v>
      </c>
      <c r="V269" s="208">
        <v>38599454.961380497</v>
      </c>
      <c r="W269" s="208">
        <v>38792452.236187398</v>
      </c>
      <c r="X269" s="208">
        <v>38986414.497368298</v>
      </c>
      <c r="Y269" s="208">
        <v>39181346.569855101</v>
      </c>
      <c r="Z269" s="208">
        <v>39377253.302704401</v>
      </c>
      <c r="AA269" s="208">
        <v>39574139.569217898</v>
      </c>
    </row>
    <row r="270" spans="10:27" ht="15" customHeight="1" x14ac:dyDescent="0.2">
      <c r="J270" s="202" t="str">
        <f xml:space="preserve"> _xll.EPMOlapMemberO("[COSTCENTER].[PARENTH1].[1001]","","1001","","000")</f>
        <v>1001</v>
      </c>
      <c r="K270" s="209" t="str">
        <f xml:space="preserve"> _xll.EPMOlapMemberO("[C_ACCOUNT].[PARENTH1].[LONG_T_L_LIAB]","","LONG_T_L_LIAB","","000")</f>
        <v>LONG_T_L_LIAB</v>
      </c>
      <c r="L270" s="202" t="str">
        <f>_xll.EPMMemberDesc(K270)</f>
        <v>Long-term Lease Liabilities</v>
      </c>
      <c r="M270" s="203">
        <v>0</v>
      </c>
      <c r="N270" s="203">
        <v>0</v>
      </c>
      <c r="O270" s="203">
        <v>0</v>
      </c>
      <c r="P270" s="203">
        <v>25096234.449999999</v>
      </c>
      <c r="Q270" s="203">
        <v>24955958.219999999</v>
      </c>
      <c r="R270" s="203">
        <v>24815238.370000001</v>
      </c>
      <c r="S270" s="203">
        <v>24672098.629999999</v>
      </c>
      <c r="T270" s="203">
        <v>24528505.129999999</v>
      </c>
      <c r="U270" s="203">
        <v>24384456.420000002</v>
      </c>
      <c r="V270" s="203">
        <v>24239117.640000001</v>
      </c>
      <c r="W270" s="203">
        <v>24093317.66</v>
      </c>
      <c r="X270" s="203">
        <v>23947055.039999999</v>
      </c>
      <c r="Y270" s="203">
        <v>23800328.289999999</v>
      </c>
      <c r="Z270" s="203">
        <v>23653135.949999999</v>
      </c>
      <c r="AA270" s="203">
        <v>23505476.539999999</v>
      </c>
    </row>
    <row r="271" spans="10:27" ht="15" customHeight="1" x14ac:dyDescent="0.25">
      <c r="J271" s="206" t="str">
        <f xml:space="preserve"> _xll.EPMOlapMemberO("[COSTCENTER].[PARENTH1].[1001]","","1001","","000")</f>
        <v>1001</v>
      </c>
      <c r="K271" s="210" t="str">
        <f xml:space="preserve"> _xll.EPMOlapMemberO("[C_ACCOUNT].[PARENTH1].[A_2270200]","","A_2270200","","000")</f>
        <v>A_2270200</v>
      </c>
      <c r="L271" s="208" t="str">
        <f>_xll.EPMMemberDesc(K271)</f>
        <v>Long-term Lease Liability - Operating Lease</v>
      </c>
      <c r="M271" s="208">
        <v>0</v>
      </c>
      <c r="N271" s="208">
        <v>0</v>
      </c>
      <c r="O271" s="208">
        <v>0</v>
      </c>
      <c r="P271" s="208">
        <v>25096234.449999999</v>
      </c>
      <c r="Q271" s="208">
        <v>24955958.219999999</v>
      </c>
      <c r="R271" s="208">
        <v>24815238.370000001</v>
      </c>
      <c r="S271" s="208">
        <v>24672098.629999999</v>
      </c>
      <c r="T271" s="208">
        <v>24528505.129999999</v>
      </c>
      <c r="U271" s="208">
        <v>24384456.420000002</v>
      </c>
      <c r="V271" s="208">
        <v>24239117.640000001</v>
      </c>
      <c r="W271" s="208">
        <v>24093317.66</v>
      </c>
      <c r="X271" s="208">
        <v>23947055.039999999</v>
      </c>
      <c r="Y271" s="208">
        <v>23800328.289999999</v>
      </c>
      <c r="Z271" s="208">
        <v>23653135.949999999</v>
      </c>
      <c r="AA271" s="208">
        <v>23505476.539999999</v>
      </c>
    </row>
    <row r="272" spans="10:27" ht="15" customHeight="1" x14ac:dyDescent="0.2">
      <c r="J272" s="202" t="str">
        <f xml:space="preserve"> _xll.EPMOlapMemberO("[COSTCENTER].[PARENTH1].[1001]","","1001","","000")</f>
        <v>1001</v>
      </c>
      <c r="K272" s="205" t="str">
        <f xml:space="preserve"> _xll.EPMOlapMemberO("[C_ACCOUNT].[PARENTH1].[LT_DEBT_LESSAMT_YR]","","LT_DEBT_LESSAMT_YR","","000")</f>
        <v>LT_DEBT_LESSAMT_YR</v>
      </c>
      <c r="L272" s="202" t="str">
        <f>_xll.EPMMemberDesc(K272)</f>
        <v>Long-term Debt. less amount due within one year</v>
      </c>
      <c r="M272" s="203">
        <v>0</v>
      </c>
      <c r="N272" s="203">
        <v>0</v>
      </c>
      <c r="O272" s="203">
        <v>0</v>
      </c>
      <c r="P272" s="203">
        <v>2603589787.1100001</v>
      </c>
      <c r="Q272" s="203">
        <v>2603719506.2533331</v>
      </c>
      <c r="R272" s="203">
        <v>2603849225.396667</v>
      </c>
      <c r="S272" s="203">
        <v>2603978944.54</v>
      </c>
      <c r="T272" s="203">
        <v>3074371858.1277776</v>
      </c>
      <c r="U272" s="203">
        <v>3074514771.7155557</v>
      </c>
      <c r="V272" s="203">
        <v>3074657685.3033338</v>
      </c>
      <c r="W272" s="203">
        <v>3074800598.8911114</v>
      </c>
      <c r="X272" s="203">
        <v>2849943512.478889</v>
      </c>
      <c r="Y272" s="203">
        <v>2850086426.0666666</v>
      </c>
      <c r="Z272" s="203">
        <v>2850229339.6544442</v>
      </c>
      <c r="AA272" s="203">
        <v>2850372253.2422223</v>
      </c>
    </row>
    <row r="273" spans="10:27" ht="15" customHeight="1" x14ac:dyDescent="0.2">
      <c r="J273" s="202" t="str">
        <f xml:space="preserve"> _xll.EPMOlapMemberO("[COSTCENTER].[PARENTH1].[1001]","","1001","","000")</f>
        <v>1001</v>
      </c>
      <c r="K273" s="209" t="str">
        <f xml:space="preserve"> _xll.EPMOlapMemberO("[C_ACCOUNT].[PARENTH1].[RECRSE_LTD_LESSAMT]","","RECRSE_LTD_LESSAMT","","000")</f>
        <v>RECRSE_LTD_LESSAMT</v>
      </c>
      <c r="L273" s="202" t="str">
        <f>_xll.EPMMemberDesc(K273)</f>
        <v>Recourse LTD Less amt</v>
      </c>
      <c r="M273" s="203">
        <v>0</v>
      </c>
      <c r="N273" s="203">
        <v>0</v>
      </c>
      <c r="O273" s="203">
        <v>0</v>
      </c>
      <c r="P273" s="203">
        <v>2603589787.1100001</v>
      </c>
      <c r="Q273" s="203">
        <v>2603719506.2533331</v>
      </c>
      <c r="R273" s="203">
        <v>2603849225.396667</v>
      </c>
      <c r="S273" s="203">
        <v>2603978944.54</v>
      </c>
      <c r="T273" s="203">
        <v>3074371858.1277776</v>
      </c>
      <c r="U273" s="203">
        <v>3074514771.7155557</v>
      </c>
      <c r="V273" s="203">
        <v>3074657685.3033338</v>
      </c>
      <c r="W273" s="203">
        <v>3074800598.8911114</v>
      </c>
      <c r="X273" s="203">
        <v>2849943512.478889</v>
      </c>
      <c r="Y273" s="203">
        <v>2850086426.0666666</v>
      </c>
      <c r="Z273" s="203">
        <v>2850229339.6544442</v>
      </c>
      <c r="AA273" s="203">
        <v>2850372253.2422223</v>
      </c>
    </row>
    <row r="274" spans="10:27" ht="15" customHeight="1" x14ac:dyDescent="0.25">
      <c r="J274" s="206" t="str">
        <f xml:space="preserve"> _xll.EPMOlapMemberO("[COSTCENTER].[PARENTH1].[1001]","","1001","","000")</f>
        <v>1001</v>
      </c>
      <c r="K274" s="210" t="str">
        <f xml:space="preserve"> _xll.EPMOlapMemberO("[C_ACCOUNT].[PARENTH1].[A_1810200]","","A_1810200","","000")</f>
        <v>A_1810200</v>
      </c>
      <c r="L274" s="208" t="str">
        <f>_xll.EPMMemberDesc(K274)</f>
        <v>Unamortized Debt Expense - Recourse</v>
      </c>
      <c r="M274" s="208">
        <v>0</v>
      </c>
      <c r="N274" s="208">
        <v>0</v>
      </c>
      <c r="O274" s="208">
        <v>0</v>
      </c>
      <c r="P274" s="208">
        <v>22791164.149999999</v>
      </c>
      <c r="Q274" s="208">
        <v>22692753.3866667</v>
      </c>
      <c r="R274" s="208">
        <v>22594342.623333301</v>
      </c>
      <c r="S274" s="208">
        <v>22495931.859999999</v>
      </c>
      <c r="T274" s="208">
        <v>27134326.652222201</v>
      </c>
      <c r="U274" s="208">
        <v>27022721.444444399</v>
      </c>
      <c r="V274" s="208">
        <v>26911116.236666601</v>
      </c>
      <c r="W274" s="208">
        <v>26799511.0288889</v>
      </c>
      <c r="X274" s="208">
        <v>26687905.821111102</v>
      </c>
      <c r="Y274" s="208">
        <v>26576300.6133333</v>
      </c>
      <c r="Z274" s="208">
        <v>26464695.405555502</v>
      </c>
      <c r="AA274" s="208">
        <v>26353090.1977778</v>
      </c>
    </row>
    <row r="275" spans="10:27" ht="15" customHeight="1" x14ac:dyDescent="0.25">
      <c r="J275" s="206" t="str">
        <f xml:space="preserve"> _xll.EPMOlapMemberO("[COSTCENTER].[PARENTH1].[1001]","","1001","","000")</f>
        <v>1001</v>
      </c>
      <c r="K275" s="210" t="str">
        <f xml:space="preserve"> _xll.EPMOlapMemberO("[C_ACCOUNT].[PARENTH1].[A_2210200]","","A_2210200","","000")</f>
        <v>A_2210200</v>
      </c>
      <c r="L275" s="208" t="str">
        <f>_xll.EPMMemberDesc(K275)</f>
        <v>Bonds - Recourse - Non-Current</v>
      </c>
      <c r="M275" s="208">
        <v>0</v>
      </c>
      <c r="N275" s="208">
        <v>0</v>
      </c>
      <c r="O275" s="208">
        <v>0</v>
      </c>
      <c r="P275" s="208">
        <v>2635000000</v>
      </c>
      <c r="Q275" s="208">
        <v>2635000000</v>
      </c>
      <c r="R275" s="208">
        <v>2635000000</v>
      </c>
      <c r="S275" s="208">
        <v>2635000000</v>
      </c>
      <c r="T275" s="208">
        <v>3110000000</v>
      </c>
      <c r="U275" s="208">
        <v>3110000000</v>
      </c>
      <c r="V275" s="208">
        <v>3110000000</v>
      </c>
      <c r="W275" s="208">
        <v>3110000000</v>
      </c>
      <c r="X275" s="208">
        <v>2885000000</v>
      </c>
      <c r="Y275" s="208">
        <v>2885000000</v>
      </c>
      <c r="Z275" s="208">
        <v>2885000000</v>
      </c>
      <c r="AA275" s="208">
        <v>2885000000</v>
      </c>
    </row>
    <row r="276" spans="10:27" ht="15" customHeight="1" x14ac:dyDescent="0.25">
      <c r="J276" s="206" t="str">
        <f xml:space="preserve"> _xll.EPMOlapMemberO("[COSTCENTER].[PARENTH1].[1001]","","1001","","000")</f>
        <v>1001</v>
      </c>
      <c r="K276" s="210" t="str">
        <f xml:space="preserve"> _xll.EPMOlapMemberO("[C_ACCOUNT].[PARENTH1].[A_2260200]","","A_2260200","","000")</f>
        <v>A_2260200</v>
      </c>
      <c r="L276" s="208" t="str">
        <f>_xll.EPMMemberDesc(K276)</f>
        <v>Unamortized Discount Long-term Debt - Recourse</v>
      </c>
      <c r="M276" s="208">
        <v>0</v>
      </c>
      <c r="N276" s="208">
        <v>0</v>
      </c>
      <c r="O276" s="208">
        <v>0</v>
      </c>
      <c r="P276" s="208">
        <v>-8619048.7400000002</v>
      </c>
      <c r="Q276" s="208">
        <v>-8587740.3599999994</v>
      </c>
      <c r="R276" s="208">
        <v>-8556431.9800000004</v>
      </c>
      <c r="S276" s="208">
        <v>-8525123.5999999996</v>
      </c>
      <c r="T276" s="208">
        <v>-8493815.2200000007</v>
      </c>
      <c r="U276" s="208">
        <v>-8462506.8399999999</v>
      </c>
      <c r="V276" s="208">
        <v>-8431198.4600000009</v>
      </c>
      <c r="W276" s="208">
        <v>-8399890.0800000001</v>
      </c>
      <c r="X276" s="208">
        <v>-8368581.7000000002</v>
      </c>
      <c r="Y276" s="208">
        <v>-8337273.3200000003</v>
      </c>
      <c r="Z276" s="208">
        <v>-8305964.9400000004</v>
      </c>
      <c r="AA276" s="208">
        <v>-8274656.5599999996</v>
      </c>
    </row>
    <row r="277" spans="10:27" ht="15" customHeight="1" x14ac:dyDescent="0.2">
      <c r="J277" s="202" t="str">
        <f xml:space="preserve"> _xll.EPMOlapMemberO("[COSTCENTER].[PARENTH1].[1001]","","1001","","000")</f>
        <v>1001</v>
      </c>
      <c r="K277" s="204" t="str">
        <f xml:space="preserve"> _xll.EPMOlapMemberO("[C_ACCOUNT].[PARENTH1].[CAPITAL]","","CAPITAL","","000")</f>
        <v>CAPITAL</v>
      </c>
      <c r="L277" s="202" t="str">
        <f>_xll.EPMMemberDesc(K277)</f>
        <v>CAPITAL</v>
      </c>
      <c r="M277" s="203">
        <v>0</v>
      </c>
      <c r="N277" s="203">
        <v>0</v>
      </c>
      <c r="O277" s="203">
        <v>0</v>
      </c>
      <c r="P277" s="203">
        <v>3562227553.7002473</v>
      </c>
      <c r="Q277" s="203">
        <v>3611432583.6163831</v>
      </c>
      <c r="R277" s="203">
        <v>3621880980.6761761</v>
      </c>
      <c r="S277" s="203">
        <v>3643921495.0086169</v>
      </c>
      <c r="T277" s="203">
        <v>3731886385.0729833</v>
      </c>
      <c r="U277" s="203">
        <v>3768560408.4770241</v>
      </c>
      <c r="V277" s="203">
        <v>3812136697.7861319</v>
      </c>
      <c r="W277" s="203">
        <v>3866623012.3059487</v>
      </c>
      <c r="X277" s="203">
        <v>3910011349.6393242</v>
      </c>
      <c r="Y277" s="203">
        <v>3944454663.5772839</v>
      </c>
      <c r="Z277" s="203">
        <v>3922313348.0913682</v>
      </c>
      <c r="AA277" s="203">
        <v>3938388089.8766575</v>
      </c>
    </row>
    <row r="278" spans="10:27" ht="15" customHeight="1" x14ac:dyDescent="0.2">
      <c r="J278" s="202" t="str">
        <f xml:space="preserve"> _xll.EPMOlapMemberO("[COSTCENTER].[PARENTH1].[1001]","","1001","","000")</f>
        <v>1001</v>
      </c>
      <c r="K278" s="205" t="str">
        <f xml:space="preserve"> _xll.EPMOlapMemberO("[C_ACCOUNT].[PARENTH1].[TECO_STKEQ]","","TECO_STKEQ","","000")</f>
        <v>TECO_STKEQ</v>
      </c>
      <c r="L278" s="202" t="str">
        <f>_xll.EPMMemberDesc(K278)</f>
        <v>TECO Energy stockholder's equity</v>
      </c>
      <c r="M278" s="203">
        <v>0</v>
      </c>
      <c r="N278" s="203">
        <v>0</v>
      </c>
      <c r="O278" s="203">
        <v>0</v>
      </c>
      <c r="P278" s="203">
        <v>3563938917.1802473</v>
      </c>
      <c r="Q278" s="203">
        <v>3613135778.0663834</v>
      </c>
      <c r="R278" s="203">
        <v>3623576006.0961761</v>
      </c>
      <c r="S278" s="203">
        <v>3645608351.3986168</v>
      </c>
      <c r="T278" s="203">
        <v>3733565072.4329834</v>
      </c>
      <c r="U278" s="203">
        <v>3770230926.807024</v>
      </c>
      <c r="V278" s="203">
        <v>3813799047.086132</v>
      </c>
      <c r="W278" s="203">
        <v>3868277192.5759487</v>
      </c>
      <c r="X278" s="203">
        <v>3911657360.879324</v>
      </c>
      <c r="Y278" s="203">
        <v>3946092505.7872839</v>
      </c>
      <c r="Z278" s="203">
        <v>3923943021.271368</v>
      </c>
      <c r="AA278" s="203">
        <v>3940009594.0266576</v>
      </c>
    </row>
    <row r="279" spans="10:27" ht="15" customHeight="1" x14ac:dyDescent="0.2">
      <c r="J279" s="202" t="str">
        <f xml:space="preserve"> _xll.EPMOlapMemberO("[COSTCENTER].[PARENTH1].[1001]","","1001","","000")</f>
        <v>1001</v>
      </c>
      <c r="K279" s="209" t="str">
        <f xml:space="preserve"> _xll.EPMOlapMemberO("[C_ACCOUNT].[PARENTH1].[COMMON_EQUITY]","","COMMON_EQUITY","","000")</f>
        <v>COMMON_EQUITY</v>
      </c>
      <c r="L279" s="202" t="str">
        <f>_xll.EPMMemberDesc(K279)</f>
        <v>Common Equity A_2110000</v>
      </c>
      <c r="M279" s="203">
        <v>0</v>
      </c>
      <c r="N279" s="203">
        <v>0</v>
      </c>
      <c r="O279" s="203">
        <v>0</v>
      </c>
      <c r="P279" s="203">
        <v>119696800</v>
      </c>
      <c r="Q279" s="203">
        <v>119696800</v>
      </c>
      <c r="R279" s="203">
        <v>119696800</v>
      </c>
      <c r="S279" s="203">
        <v>119696800</v>
      </c>
      <c r="T279" s="203">
        <v>119696800</v>
      </c>
      <c r="U279" s="203">
        <v>119696800</v>
      </c>
      <c r="V279" s="203">
        <v>119696800</v>
      </c>
      <c r="W279" s="203">
        <v>119696800</v>
      </c>
      <c r="X279" s="203">
        <v>119696800</v>
      </c>
      <c r="Y279" s="203">
        <v>119696800</v>
      </c>
      <c r="Z279" s="203">
        <v>119696800</v>
      </c>
      <c r="AA279" s="203">
        <v>119696800</v>
      </c>
    </row>
    <row r="280" spans="10:27" ht="15" customHeight="1" x14ac:dyDescent="0.25">
      <c r="J280" s="206" t="str">
        <f xml:space="preserve"> _xll.EPMOlapMemberO("[COSTCENTER].[PARENTH1].[1001]","","1001","","000")</f>
        <v>1001</v>
      </c>
      <c r="K280" s="210" t="str">
        <f xml:space="preserve"> _xll.EPMOlapMemberO("[C_ACCOUNT].[PARENTH1].[A_2010000]","","A_2010000","","000")</f>
        <v>A_2010000</v>
      </c>
      <c r="L280" s="208" t="str">
        <f>_xll.EPMMemberDesc(K280)</f>
        <v>Common Stock Issued</v>
      </c>
      <c r="M280" s="208">
        <v>0</v>
      </c>
      <c r="N280" s="208">
        <v>0</v>
      </c>
      <c r="O280" s="208">
        <v>0</v>
      </c>
      <c r="P280" s="208">
        <v>119696800</v>
      </c>
      <c r="Q280" s="208">
        <v>119696800</v>
      </c>
      <c r="R280" s="208">
        <v>119696800</v>
      </c>
      <c r="S280" s="208">
        <v>119696800</v>
      </c>
      <c r="T280" s="208">
        <v>119696800</v>
      </c>
      <c r="U280" s="208">
        <v>119696800</v>
      </c>
      <c r="V280" s="208">
        <v>119696800</v>
      </c>
      <c r="W280" s="208">
        <v>119696800</v>
      </c>
      <c r="X280" s="208">
        <v>119696800</v>
      </c>
      <c r="Y280" s="208">
        <v>119696800</v>
      </c>
      <c r="Z280" s="208">
        <v>119696800</v>
      </c>
      <c r="AA280" s="208">
        <v>119696800</v>
      </c>
    </row>
    <row r="281" spans="10:27" ht="15" customHeight="1" x14ac:dyDescent="0.2">
      <c r="J281" s="202" t="str">
        <f xml:space="preserve"> _xll.EPMOlapMemberO("[COSTCENTER].[PARENTH1].[1001]","","1001","","000")</f>
        <v>1001</v>
      </c>
      <c r="K281" s="209" t="str">
        <f xml:space="preserve"> _xll.EPMOlapMemberO("[C_ACCOUNT].[PARENTH1].[ADDNL_PAID_CAP]","","ADDNL_PAID_CAP","","000")</f>
        <v>ADDNL_PAID_CAP</v>
      </c>
      <c r="L281" s="202" t="str">
        <f>_xll.EPMMemberDesc(K281)</f>
        <v>Additional paid in capital</v>
      </c>
      <c r="M281" s="203">
        <v>0</v>
      </c>
      <c r="N281" s="203">
        <v>0</v>
      </c>
      <c r="O281" s="203">
        <v>0</v>
      </c>
      <c r="P281" s="203">
        <v>3225139300</v>
      </c>
      <c r="Q281" s="203">
        <v>3325139300</v>
      </c>
      <c r="R281" s="203">
        <v>3325139300</v>
      </c>
      <c r="S281" s="203">
        <v>3325139300</v>
      </c>
      <c r="T281" s="203">
        <v>3425139300</v>
      </c>
      <c r="U281" s="203">
        <v>3425139300</v>
      </c>
      <c r="V281" s="203">
        <v>3425139300</v>
      </c>
      <c r="W281" s="203">
        <v>3525139300</v>
      </c>
      <c r="X281" s="203">
        <v>3525139300</v>
      </c>
      <c r="Y281" s="203">
        <v>3525139300</v>
      </c>
      <c r="Z281" s="203">
        <v>3615139300</v>
      </c>
      <c r="AA281" s="203">
        <v>3615139300</v>
      </c>
    </row>
    <row r="282" spans="10:27" ht="15" customHeight="1" x14ac:dyDescent="0.25">
      <c r="J282" s="206" t="str">
        <f xml:space="preserve"> _xll.EPMOlapMemberO("[COSTCENTER].[PARENTH1].[1001]","","1001","","000")</f>
        <v>1001</v>
      </c>
      <c r="K282" s="210" t="str">
        <f xml:space="preserve"> _xll.EPMOlapMemberO("[C_ACCOUNT].[PARENTH1].[A_2110000]","","A_2110000","","000")</f>
        <v>A_2110000</v>
      </c>
      <c r="L282" s="208" t="str">
        <f>_xll.EPMMemberDesc(K282)</f>
        <v>Miscellaneous Paid-in Capital</v>
      </c>
      <c r="M282" s="208">
        <v>0</v>
      </c>
      <c r="N282" s="208">
        <v>0</v>
      </c>
      <c r="O282" s="208">
        <v>0</v>
      </c>
      <c r="P282" s="208">
        <v>3225840200</v>
      </c>
      <c r="Q282" s="208">
        <v>3325840200</v>
      </c>
      <c r="R282" s="208">
        <v>3325840200</v>
      </c>
      <c r="S282" s="208">
        <v>3325840200</v>
      </c>
      <c r="T282" s="208">
        <v>3425840200</v>
      </c>
      <c r="U282" s="208">
        <v>3425840200</v>
      </c>
      <c r="V282" s="208">
        <v>3425840200</v>
      </c>
      <c r="W282" s="208">
        <v>3525840200</v>
      </c>
      <c r="X282" s="208">
        <v>3525840200</v>
      </c>
      <c r="Y282" s="208">
        <v>3525840200</v>
      </c>
      <c r="Z282" s="208">
        <v>3615840200</v>
      </c>
      <c r="AA282" s="208">
        <v>3615840200</v>
      </c>
    </row>
    <row r="283" spans="10:27" ht="15" customHeight="1" x14ac:dyDescent="0.25">
      <c r="J283" s="206" t="str">
        <f xml:space="preserve"> _xll.EPMOlapMemberO("[COSTCENTER].[PARENTH1].[1001]","","1001","","000")</f>
        <v>1001</v>
      </c>
      <c r="K283" s="210" t="str">
        <f xml:space="preserve"> _xll.EPMOlapMemberO("[C_ACCOUNT].[PARENTH1].[A_2140000]","","A_2140000","","000")</f>
        <v>A_2140000</v>
      </c>
      <c r="L283" s="208" t="str">
        <f>_xll.EPMMemberDesc(K283)</f>
        <v>Capital Stock Expense</v>
      </c>
      <c r="M283" s="208">
        <v>0</v>
      </c>
      <c r="N283" s="208">
        <v>0</v>
      </c>
      <c r="O283" s="208">
        <v>0</v>
      </c>
      <c r="P283" s="208">
        <v>-700900</v>
      </c>
      <c r="Q283" s="208">
        <v>-700900</v>
      </c>
      <c r="R283" s="208">
        <v>-700900</v>
      </c>
      <c r="S283" s="208">
        <v>-700900</v>
      </c>
      <c r="T283" s="208">
        <v>-700900</v>
      </c>
      <c r="U283" s="208">
        <v>-700900</v>
      </c>
      <c r="V283" s="208">
        <v>-700900</v>
      </c>
      <c r="W283" s="208">
        <v>-700900</v>
      </c>
      <c r="X283" s="208">
        <v>-700900</v>
      </c>
      <c r="Y283" s="208">
        <v>-700900</v>
      </c>
      <c r="Z283" s="208">
        <v>-700900</v>
      </c>
      <c r="AA283" s="208">
        <v>-700900</v>
      </c>
    </row>
    <row r="284" spans="10:27" ht="15" customHeight="1" x14ac:dyDescent="0.2">
      <c r="J284" s="202" t="str">
        <f xml:space="preserve"> _xll.EPMOlapMemberO("[COSTCENTER].[PARENTH1].[1001]","","1001","","000")</f>
        <v>1001</v>
      </c>
      <c r="K284" s="209" t="str">
        <f xml:space="preserve"> _xll.EPMOlapMemberO("[C_ACCOUNT].[PARENTH1].[RETAINED_EARNINGS]","","RETAINED_EARNINGS","","000")</f>
        <v>RETAINED_EARNINGS</v>
      </c>
      <c r="L284" s="202" t="str">
        <f>_xll.EPMMemberDesc(K284)</f>
        <v>Retained Earnings</v>
      </c>
      <c r="M284" s="203">
        <v>0</v>
      </c>
      <c r="N284" s="203">
        <v>0</v>
      </c>
      <c r="O284" s="203">
        <v>0</v>
      </c>
      <c r="P284" s="203">
        <v>219102817.18024701</v>
      </c>
      <c r="Q284" s="203">
        <v>168299678.066383</v>
      </c>
      <c r="R284" s="203">
        <v>178739906.096176</v>
      </c>
      <c r="S284" s="203">
        <v>200772251.398617</v>
      </c>
      <c r="T284" s="203">
        <v>188728972.43298301</v>
      </c>
      <c r="U284" s="203">
        <v>225394826.807024</v>
      </c>
      <c r="V284" s="203">
        <v>268962947.08613199</v>
      </c>
      <c r="W284" s="203">
        <v>223441092.57594901</v>
      </c>
      <c r="X284" s="203">
        <v>266821260.87932399</v>
      </c>
      <c r="Y284" s="203">
        <v>301256405.78728402</v>
      </c>
      <c r="Z284" s="203">
        <v>189106921.271368</v>
      </c>
      <c r="AA284" s="203">
        <v>205173494.026658</v>
      </c>
    </row>
    <row r="285" spans="10:27" ht="15" customHeight="1" x14ac:dyDescent="0.25">
      <c r="J285" s="206" t="str">
        <f xml:space="preserve"> _xll.EPMOlapMemberO("[COSTCENTER].[PARENTH1].[1001]","","1001","","000")</f>
        <v>1001</v>
      </c>
      <c r="K285" s="210" t="str">
        <f xml:space="preserve"> _xll.EPMOlapMemberO("[C_ACCOUNT].[PARENTH1].[A_2160000]","","A_2160000","","000")</f>
        <v>A_2160000</v>
      </c>
      <c r="L285" s="208" t="str">
        <f>_xll.EPMMemberDesc(K285)</f>
        <v>Retained Earnings</v>
      </c>
      <c r="M285" s="208">
        <v>0</v>
      </c>
      <c r="N285" s="208">
        <v>0</v>
      </c>
      <c r="O285" s="208">
        <v>0</v>
      </c>
      <c r="P285" s="208">
        <v>219102817.18024701</v>
      </c>
      <c r="Q285" s="208">
        <v>168299678.066383</v>
      </c>
      <c r="R285" s="208">
        <v>178739906.096176</v>
      </c>
      <c r="S285" s="208">
        <v>200772251.398617</v>
      </c>
      <c r="T285" s="208">
        <v>188728972.43298301</v>
      </c>
      <c r="U285" s="208">
        <v>225394826.807024</v>
      </c>
      <c r="V285" s="208">
        <v>268962947.08613199</v>
      </c>
      <c r="W285" s="208">
        <v>223441092.57594901</v>
      </c>
      <c r="X285" s="208">
        <v>266821260.87932399</v>
      </c>
      <c r="Y285" s="208">
        <v>301256405.78728402</v>
      </c>
      <c r="Z285" s="208">
        <v>189106921.271368</v>
      </c>
      <c r="AA285" s="208">
        <v>205173494.026658</v>
      </c>
    </row>
    <row r="286" spans="10:27" ht="15" customHeight="1" x14ac:dyDescent="0.2">
      <c r="J286" s="202" t="str">
        <f xml:space="preserve"> _xll.EPMOlapMemberO("[COSTCENTER].[PARENTH1].[1001]","","1001","","000")</f>
        <v>1001</v>
      </c>
      <c r="K286" s="205" t="str">
        <f xml:space="preserve"> _xll.EPMOlapMemberO("[C_ACCOUNT].[PARENTH1].[ACC_OTH_COMPINC]","","ACC_OTH_COMPINC","","000")</f>
        <v>ACC_OTH_COMPINC</v>
      </c>
      <c r="L286" s="202" t="str">
        <f>_xll.EPMMemberDesc(K286)</f>
        <v>Accumulated other comprehensive income/(loss)</v>
      </c>
      <c r="M286" s="203">
        <v>0</v>
      </c>
      <c r="N286" s="203">
        <v>0</v>
      </c>
      <c r="O286" s="203">
        <v>0</v>
      </c>
      <c r="P286" s="203">
        <v>-1711363.48</v>
      </c>
      <c r="Q286" s="203">
        <v>-1703194.45</v>
      </c>
      <c r="R286" s="203">
        <v>-1695025.42</v>
      </c>
      <c r="S286" s="203">
        <v>-1686856.39</v>
      </c>
      <c r="T286" s="203">
        <v>-1678687.36</v>
      </c>
      <c r="U286" s="203">
        <v>-1670518.33</v>
      </c>
      <c r="V286" s="203">
        <v>-1662349.3</v>
      </c>
      <c r="W286" s="203">
        <v>-1654180.27</v>
      </c>
      <c r="X286" s="203">
        <v>-1646011.24</v>
      </c>
      <c r="Y286" s="203">
        <v>-1637842.21</v>
      </c>
      <c r="Z286" s="203">
        <v>-1629673.18</v>
      </c>
      <c r="AA286" s="203">
        <v>-1621504.15</v>
      </c>
    </row>
    <row r="287" spans="10:27" ht="15" customHeight="1" x14ac:dyDescent="0.2">
      <c r="J287" s="202" t="str">
        <f xml:space="preserve"> _xll.EPMOlapMemberO("[COSTCENTER].[PARENTH1].[1001]","","1001","","000")</f>
        <v>1001</v>
      </c>
      <c r="K287" s="209" t="str">
        <f xml:space="preserve"> _xll.EPMOlapMemberO("[C_ACCOUNT].[PARENTH1].[AOCI_INC]","","AOCI_INC","","000")</f>
        <v>AOCI_INC</v>
      </c>
      <c r="L287" s="202" t="str">
        <f>_xll.EPMMemberDesc(K287)</f>
        <v>AOCI</v>
      </c>
      <c r="M287" s="203">
        <v>0</v>
      </c>
      <c r="N287" s="203">
        <v>0</v>
      </c>
      <c r="O287" s="203">
        <v>0</v>
      </c>
      <c r="P287" s="203">
        <v>-1711363.48</v>
      </c>
      <c r="Q287" s="203">
        <v>-1703194.45</v>
      </c>
      <c r="R287" s="203">
        <v>-1695025.42</v>
      </c>
      <c r="S287" s="203">
        <v>-1686856.39</v>
      </c>
      <c r="T287" s="203">
        <v>-1678687.36</v>
      </c>
      <c r="U287" s="203">
        <v>-1670518.33</v>
      </c>
      <c r="V287" s="203">
        <v>-1662349.3</v>
      </c>
      <c r="W287" s="203">
        <v>-1654180.27</v>
      </c>
      <c r="X287" s="203">
        <v>-1646011.24</v>
      </c>
      <c r="Y287" s="203">
        <v>-1637842.21</v>
      </c>
      <c r="Z287" s="203">
        <v>-1629673.18</v>
      </c>
      <c r="AA287" s="203">
        <v>-1621504.15</v>
      </c>
    </row>
    <row r="288" spans="10:27" ht="15" customHeight="1" x14ac:dyDescent="0.25">
      <c r="J288" s="206" t="str">
        <f xml:space="preserve"> _xll.EPMOlapMemberO("[COSTCENTER].[PARENTH1].[1001]","","1001","","000")</f>
        <v>1001</v>
      </c>
      <c r="K288" s="210" t="str">
        <f xml:space="preserve"> _xll.EPMOlapMemberO("[C_ACCOUNT].[PARENTH1].[A_2190040]","","A_2190040","","000")</f>
        <v>A_2190040</v>
      </c>
      <c r="L288" s="208" t="str">
        <f>_xll.EPMMemberDesc(K288)</f>
        <v>Comprehensive Income - Cash Flow Hedges Pretax</v>
      </c>
      <c r="M288" s="208">
        <v>0</v>
      </c>
      <c r="N288" s="208">
        <v>0</v>
      </c>
      <c r="O288" s="208">
        <v>0</v>
      </c>
      <c r="P288" s="208">
        <v>-1711363.48</v>
      </c>
      <c r="Q288" s="208">
        <v>-1703194.45</v>
      </c>
      <c r="R288" s="208">
        <v>-1695025.42</v>
      </c>
      <c r="S288" s="208">
        <v>-1686856.39</v>
      </c>
      <c r="T288" s="208">
        <v>-1678687.36</v>
      </c>
      <c r="U288" s="208">
        <v>-1670518.33</v>
      </c>
      <c r="V288" s="208">
        <v>-1662349.3</v>
      </c>
      <c r="W288" s="208">
        <v>-1654180.27</v>
      </c>
      <c r="X288" s="208">
        <v>-1646011.24</v>
      </c>
      <c r="Y288" s="208">
        <v>-1637842.21</v>
      </c>
      <c r="Z288" s="208">
        <v>-1629673.18</v>
      </c>
      <c r="AA288" s="208">
        <v>-1621504.15</v>
      </c>
    </row>
  </sheetData>
  <sheetProtection formatColumns="0"/>
  <conditionalFormatting sqref="L4:AB4">
    <cfRule type="expression" dxfId="15" priority="1">
      <formula>$L4="E"</formula>
    </cfRule>
    <cfRule type="expression" dxfId="14" priority="2">
      <formula>$L4="Y"</formula>
    </cfRule>
  </conditionalFormatting>
  <dataValidations count="3">
    <dataValidation type="list" allowBlank="1" showInputMessage="1" showErrorMessage="1" sqref="L21" xr:uid="{66D119F2-812B-4A6B-8F8E-57DC38D7911D}">
      <formula1>$G$1:$G$3</formula1>
    </dataValidation>
    <dataValidation type="list" allowBlank="1" showInputMessage="1" showErrorMessage="1" sqref="K5" xr:uid="{2CAD729D-3613-4E8B-88F4-8EDAA006A76B}">
      <formula1>$G$1:$G$2</formula1>
    </dataValidation>
    <dataValidation type="list" allowBlank="1" showInputMessage="1" showErrorMessage="1" sqref="L25" xr:uid="{969EF5C3-3D43-476A-A5FE-3D0D0529E2CC}">
      <formula1>$I$1:$I$3</formula1>
    </dataValidation>
  </dataValidations>
  <pageMargins left="0.25" right="0.25" top="0.75" bottom="0.75" header="0.3" footer="0.3"/>
  <pageSetup scale="59" fitToWidth="2" fitToHeight="10" orientation="landscape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7169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7169" r:id="rId5" name="FPMExcelClientSheetOptionstb1"/>
      </mc:Fallback>
    </mc:AlternateContent>
    <mc:AlternateContent xmlns:mc="http://schemas.openxmlformats.org/markup-compatibility/2006">
      <mc:Choice Requires="x14">
        <control shapeId="7170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7170" r:id="rId7" name="ConnectionDescriptorsInfotb1"/>
      </mc:Fallback>
    </mc:AlternateContent>
    <mc:AlternateContent xmlns:mc="http://schemas.openxmlformats.org/markup-compatibility/2006">
      <mc:Choice Requires="x14">
        <control shapeId="7171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7171" r:id="rId9" name="MultipleReportManagerInfotb1"/>
      </mc:Fallback>
    </mc:AlternateContent>
    <mc:AlternateContent xmlns:mc="http://schemas.openxmlformats.org/markup-compatibility/2006">
      <mc:Choice Requires="x14">
        <control shapeId="7172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7172" r:id="rId11" name="AnalyzerDynReport000tb1"/>
      </mc:Fallback>
    </mc:AlternateContent>
    <mc:AlternateContent xmlns:mc="http://schemas.openxmlformats.org/markup-compatibility/2006">
      <mc:Choice Requires="x14">
        <control shapeId="7173" r:id="rId13" name="CustomMemberDispatchertb1">
          <controlPr defaultSize="0" autoLine="0" autoPict="0" r:id="rId14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7173" r:id="rId13" name="CustomMemberDispatchertb1"/>
      </mc:Fallback>
    </mc:AlternateContent>
    <mc:AlternateContent xmlns:mc="http://schemas.openxmlformats.org/markup-compatibility/2006">
      <mc:Choice Requires="x14">
        <control shapeId="7175" r:id="rId15" name="CheckBox1">
          <controlPr defaultSize="0" autoLine="0" linkedCell="R2" r:id="rId16">
            <anchor moveWithCells="1">
              <from>
                <xdr:col>11</xdr:col>
                <xdr:colOff>975360</xdr:colOff>
                <xdr:row>19</xdr:row>
                <xdr:rowOff>114300</xdr:rowOff>
              </from>
              <to>
                <xdr:col>11</xdr:col>
                <xdr:colOff>2346960</xdr:colOff>
                <xdr:row>19</xdr:row>
                <xdr:rowOff>350520</xdr:rowOff>
              </to>
            </anchor>
          </controlPr>
        </control>
      </mc:Choice>
      <mc:Fallback>
        <control shapeId="7175" r:id="rId15" name="CheckBox1"/>
      </mc:Fallback>
    </mc:AlternateContent>
    <mc:AlternateContent xmlns:mc="http://schemas.openxmlformats.org/markup-compatibility/2006">
      <mc:Choice Requires="x14">
        <control shapeId="7174" r:id="rId17" name="Drop Down 6">
          <controlPr defaultSize="0" autoLine="0" autoPict="0">
            <anchor moveWithCells="1">
              <from>
                <xdr:col>14</xdr:col>
                <xdr:colOff>38100</xdr:colOff>
                <xdr:row>26</xdr:row>
                <xdr:rowOff>22860</xdr:rowOff>
              </from>
              <to>
                <xdr:col>15</xdr:col>
                <xdr:colOff>121920</xdr:colOff>
                <xdr:row>27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6" r:id="rId18" name="Drop Down 8">
          <controlPr defaultSize="0" autoLine="0" autoPict="0">
            <anchor moveWithCells="1">
              <from>
                <xdr:col>14</xdr:col>
                <xdr:colOff>30480</xdr:colOff>
                <xdr:row>19</xdr:row>
                <xdr:rowOff>373380</xdr:rowOff>
              </from>
              <to>
                <xdr:col>15</xdr:col>
                <xdr:colOff>144780</xdr:colOff>
                <xdr:row>21</xdr:row>
                <xdr:rowOff>0</xdr:rowOff>
              </to>
            </anchor>
          </controlPr>
        </control>
      </mc:Choice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>
    <pageSetUpPr fitToPage="1"/>
  </sheetPr>
  <dimension ref="A1:T62"/>
  <sheetViews>
    <sheetView topLeftCell="A3" zoomScaleNormal="100" zoomScaleSheetLayoutView="100" workbookViewId="0">
      <selection activeCell="C47" sqref="C47"/>
    </sheetView>
  </sheetViews>
  <sheetFormatPr defaultColWidth="9.109375" defaultRowHeight="14.1" customHeight="1" x14ac:dyDescent="0.2"/>
  <cols>
    <col min="1" max="1" width="4.6640625" style="5" customWidth="1"/>
    <col min="2" max="2" width="6.88671875" style="5" bestFit="1" customWidth="1"/>
    <col min="3" max="4" width="9.5546875" style="5" customWidth="1"/>
    <col min="5" max="5" width="6.6640625" style="5" customWidth="1"/>
    <col min="6" max="6" width="12.44140625" style="5" customWidth="1"/>
    <col min="7" max="7" width="5.6640625" style="5" customWidth="1"/>
    <col min="8" max="8" width="9.109375" style="5"/>
    <col min="9" max="9" width="11.5546875" style="5" customWidth="1"/>
    <col min="10" max="10" width="10.88671875" style="5" bestFit="1" customWidth="1"/>
    <col min="11" max="12" width="9.5546875" style="5" customWidth="1"/>
    <col min="13" max="13" width="2.5546875" style="5" customWidth="1"/>
    <col min="14" max="20" width="9.5546875" style="5" customWidth="1"/>
    <col min="21" max="16384" width="9.109375" style="5"/>
  </cols>
  <sheetData>
    <row r="1" spans="1:20" ht="14.1" hidden="1" customHeight="1" x14ac:dyDescent="0.2">
      <c r="C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  <c r="P1" s="5">
        <v>13</v>
      </c>
      <c r="Q1" s="5">
        <v>14</v>
      </c>
      <c r="R1" s="5">
        <v>15</v>
      </c>
      <c r="S1" s="5">
        <v>17</v>
      </c>
    </row>
    <row r="2" spans="1:20" ht="14.1" hidden="1" customHeight="1" x14ac:dyDescent="0.2">
      <c r="S2" s="5">
        <v>1</v>
      </c>
    </row>
    <row r="3" spans="1:20" ht="14.1" customHeight="1" thickBot="1" x14ac:dyDescent="0.25">
      <c r="A3" s="9" t="s">
        <v>0</v>
      </c>
      <c r="B3" s="9"/>
      <c r="C3" s="9"/>
      <c r="D3" s="9"/>
      <c r="E3" s="9"/>
      <c r="F3" s="9"/>
      <c r="G3" s="9"/>
      <c r="H3" s="9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 t="str">
        <f>"Page 1 of " &amp; S$2</f>
        <v>Page 1 of 1</v>
      </c>
    </row>
    <row r="4" spans="1:20" ht="14.1" customHeight="1" x14ac:dyDescent="0.2">
      <c r="A4" s="5" t="s">
        <v>3</v>
      </c>
      <c r="E4" s="5" t="s">
        <v>4</v>
      </c>
      <c r="G4" s="5" t="s">
        <v>5</v>
      </c>
      <c r="K4" s="10"/>
      <c r="L4" s="10"/>
      <c r="N4" s="10"/>
      <c r="O4" s="10"/>
      <c r="P4" s="10" t="s">
        <v>6</v>
      </c>
      <c r="S4" s="11"/>
      <c r="T4" s="11"/>
    </row>
    <row r="5" spans="1:20" ht="14.1" customHeight="1" x14ac:dyDescent="0.2">
      <c r="K5" s="12"/>
      <c r="L5" s="11"/>
      <c r="O5" s="12"/>
      <c r="P5" s="12" t="s">
        <v>7</v>
      </c>
      <c r="Q5" s="11" t="s">
        <v>142</v>
      </c>
      <c r="S5" s="12"/>
      <c r="T5" s="11"/>
    </row>
    <row r="6" spans="1:20" ht="14.1" customHeight="1" x14ac:dyDescent="0.2">
      <c r="A6" s="5" t="s">
        <v>9</v>
      </c>
      <c r="K6" s="12"/>
      <c r="L6" s="11"/>
      <c r="M6" s="12"/>
      <c r="P6" s="12" t="s">
        <v>7</v>
      </c>
      <c r="Q6" s="11" t="s">
        <v>143</v>
      </c>
      <c r="S6" s="12"/>
      <c r="T6" s="11"/>
    </row>
    <row r="7" spans="1:20" ht="14.1" customHeight="1" x14ac:dyDescent="0.2">
      <c r="K7" s="12"/>
      <c r="L7" s="11"/>
      <c r="M7" s="12"/>
      <c r="P7" s="12"/>
      <c r="Q7" s="11" t="s">
        <v>144</v>
      </c>
      <c r="S7" s="12"/>
      <c r="T7" s="11"/>
    </row>
    <row r="8" spans="1:20" ht="14.1" customHeight="1" thickBot="1" x14ac:dyDescent="0.25">
      <c r="A8" s="9" t="s">
        <v>145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 t="s">
        <v>146</v>
      </c>
      <c r="R8" s="9"/>
      <c r="S8" s="9"/>
    </row>
    <row r="9" spans="1:20" ht="14.1" customHeight="1" x14ac:dyDescent="0.2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20" ht="14.1" customHeight="1" x14ac:dyDescent="0.2">
      <c r="C10" s="13"/>
      <c r="D10" s="13"/>
      <c r="E10" s="13"/>
      <c r="F10" s="13"/>
      <c r="G10" s="13"/>
      <c r="H10" s="13"/>
      <c r="I10" s="1" t="s">
        <v>12</v>
      </c>
      <c r="J10" s="13"/>
      <c r="M10" s="13"/>
      <c r="N10" s="13"/>
      <c r="O10" s="13"/>
      <c r="P10" s="13"/>
      <c r="Q10" s="13"/>
      <c r="R10" s="13"/>
      <c r="S10" s="13"/>
    </row>
    <row r="11" spans="1:20" ht="14.1" customHeight="1" x14ac:dyDescent="0.2">
      <c r="G11" s="13"/>
      <c r="H11" s="1"/>
      <c r="I11" s="13"/>
      <c r="J11" s="1"/>
      <c r="K11" s="13"/>
      <c r="L11" s="1"/>
      <c r="M11" s="1"/>
      <c r="N11" s="1"/>
      <c r="S11" s="1"/>
    </row>
    <row r="12" spans="1:20" ht="14.1" customHeight="1" x14ac:dyDescent="0.2">
      <c r="A12" s="5" t="s">
        <v>13</v>
      </c>
      <c r="B12" s="1"/>
      <c r="C12" s="1"/>
      <c r="D12" s="1"/>
      <c r="E12" s="1"/>
      <c r="F12" s="13"/>
      <c r="G12" s="1"/>
      <c r="H12" s="1"/>
      <c r="I12" s="1"/>
      <c r="J12" s="1"/>
      <c r="K12" s="1"/>
      <c r="L12" s="13"/>
      <c r="M12" s="1"/>
      <c r="N12" s="11"/>
      <c r="O12" s="11"/>
      <c r="P12" s="13"/>
      <c r="Q12" s="13"/>
      <c r="R12" s="13"/>
      <c r="S12" s="1"/>
    </row>
    <row r="13" spans="1:20" ht="14.1" customHeight="1" thickBot="1" x14ac:dyDescent="0.25">
      <c r="A13" s="9" t="s">
        <v>14</v>
      </c>
      <c r="B13" s="14"/>
      <c r="C13" s="14"/>
      <c r="D13" s="14"/>
      <c r="E13" s="14"/>
      <c r="F13" s="14"/>
      <c r="G13" s="15"/>
      <c r="H13" s="15"/>
      <c r="I13" s="16"/>
      <c r="J13" s="16"/>
      <c r="K13" s="15"/>
      <c r="L13" s="16"/>
      <c r="M13" s="16"/>
      <c r="N13" s="17"/>
      <c r="O13" s="17"/>
      <c r="P13" s="17"/>
      <c r="Q13" s="17"/>
      <c r="R13" s="17"/>
      <c r="S13" s="17"/>
    </row>
    <row r="14" spans="1:20" ht="14.1" customHeight="1" x14ac:dyDescent="0.2">
      <c r="A14" s="5">
        <v>1</v>
      </c>
      <c r="B14" s="19"/>
      <c r="C14" s="3"/>
      <c r="D14" s="3"/>
      <c r="E14" s="3"/>
      <c r="F14" s="2"/>
      <c r="G14" s="2"/>
      <c r="H14" s="18" t="s">
        <v>15</v>
      </c>
      <c r="I14" s="7"/>
      <c r="J14" s="18"/>
      <c r="K14" s="18"/>
      <c r="L14" s="3"/>
      <c r="M14" s="3"/>
      <c r="N14" s="3"/>
      <c r="O14" s="3"/>
      <c r="P14" s="3"/>
      <c r="Q14" s="3"/>
      <c r="R14" s="3"/>
      <c r="S14" s="3"/>
    </row>
    <row r="15" spans="1:20" ht="14.1" customHeight="1" x14ac:dyDescent="0.2">
      <c r="A15" s="5">
        <v>2</v>
      </c>
      <c r="B15" s="19"/>
      <c r="C15" s="3"/>
      <c r="F15" s="2"/>
      <c r="G15" s="2"/>
      <c r="H15" s="2"/>
      <c r="I15" s="2"/>
      <c r="J15" s="3"/>
      <c r="K15" s="3"/>
      <c r="L15" s="3"/>
      <c r="M15" s="2"/>
      <c r="N15" s="2"/>
      <c r="O15" s="2"/>
      <c r="P15" s="2"/>
      <c r="Q15" s="2"/>
      <c r="R15" s="2"/>
      <c r="S15" s="2"/>
    </row>
    <row r="16" spans="1:20" ht="14.1" customHeight="1" x14ac:dyDescent="0.2">
      <c r="A16" s="5">
        <v>3</v>
      </c>
      <c r="B16" s="20"/>
      <c r="C16" s="3"/>
      <c r="D16" s="5" t="s">
        <v>147</v>
      </c>
      <c r="F16" s="4"/>
      <c r="G16" s="4"/>
      <c r="H16" s="3">
        <f>(Leases!C17+Leases!C18)*1000</f>
        <v>2069.8209999999999</v>
      </c>
      <c r="I16" s="2"/>
      <c r="J16" s="2"/>
      <c r="L16" s="6"/>
      <c r="M16" s="4"/>
      <c r="N16" s="4"/>
      <c r="O16" s="4"/>
      <c r="P16" s="4"/>
      <c r="Q16" s="4"/>
      <c r="R16" s="4"/>
      <c r="S16" s="4"/>
    </row>
    <row r="17" spans="1:19" ht="14.1" customHeight="1" x14ac:dyDescent="0.2">
      <c r="A17" s="5">
        <v>4</v>
      </c>
      <c r="B17" s="20"/>
      <c r="C17" s="3"/>
      <c r="D17" s="5" t="s">
        <v>148</v>
      </c>
      <c r="F17" s="4"/>
      <c r="G17" s="4"/>
      <c r="H17" s="3" t="e">
        <f>#REF!/1000</f>
        <v>#REF!</v>
      </c>
      <c r="I17" s="2"/>
      <c r="J17" s="2"/>
      <c r="L17" s="4"/>
      <c r="M17" s="4"/>
      <c r="N17" s="4"/>
      <c r="O17" s="4"/>
      <c r="P17" s="4"/>
      <c r="Q17" s="4"/>
      <c r="R17" s="4"/>
      <c r="S17" s="4"/>
    </row>
    <row r="18" spans="1:19" ht="14.1" customHeight="1" x14ac:dyDescent="0.2">
      <c r="A18" s="5">
        <v>5</v>
      </c>
      <c r="B18" s="20"/>
      <c r="C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4.1" customHeight="1" x14ac:dyDescent="0.2">
      <c r="A19" s="5">
        <v>6</v>
      </c>
      <c r="B19" s="20"/>
      <c r="C19" s="3"/>
      <c r="D19" s="5" t="s">
        <v>18</v>
      </c>
      <c r="F19" s="4"/>
      <c r="G19" s="4"/>
      <c r="H19" s="3" t="e">
        <f>(#REF!+#REF!+#REF!+#REF!+#REF!)/1000</f>
        <v>#REF!</v>
      </c>
      <c r="I19" s="7"/>
      <c r="J19" s="7"/>
      <c r="K19" s="3"/>
      <c r="L19" s="4"/>
      <c r="M19" s="4"/>
      <c r="N19" s="4"/>
      <c r="O19" s="4"/>
      <c r="P19" s="4"/>
      <c r="Q19" s="4"/>
      <c r="R19" s="4"/>
      <c r="S19" s="4"/>
    </row>
    <row r="20" spans="1:19" ht="14.1" customHeight="1" x14ac:dyDescent="0.2">
      <c r="A20" s="5">
        <v>7</v>
      </c>
      <c r="B20" s="121"/>
      <c r="C20" s="122"/>
      <c r="D20" s="123" t="s">
        <v>149</v>
      </c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  <row r="21" spans="1:19" ht="14.1" customHeight="1" x14ac:dyDescent="0.2">
      <c r="A21" s="5">
        <v>8</v>
      </c>
      <c r="B21" s="20"/>
      <c r="C21" s="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4.1" customHeight="1" x14ac:dyDescent="0.2">
      <c r="A22" s="5">
        <v>9</v>
      </c>
      <c r="B22" s="20"/>
      <c r="C22" s="3"/>
      <c r="F22" s="4"/>
      <c r="G22" s="4"/>
      <c r="H22" s="4"/>
      <c r="I22" s="4" t="s">
        <v>20</v>
      </c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4.1" customHeight="1" x14ac:dyDescent="0.2">
      <c r="A23" s="5">
        <v>10</v>
      </c>
      <c r="B23" s="121"/>
      <c r="C23" s="122"/>
      <c r="D23" s="123"/>
      <c r="E23" s="123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</row>
    <row r="24" spans="1:19" ht="14.1" customHeight="1" x14ac:dyDescent="0.2">
      <c r="A24" s="5">
        <v>11</v>
      </c>
      <c r="B24" s="20"/>
      <c r="C24" s="18"/>
      <c r="D24" s="1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4"/>
      <c r="R24" s="4"/>
      <c r="S24" s="4"/>
    </row>
    <row r="25" spans="1:19" ht="14.1" customHeight="1" x14ac:dyDescent="0.2">
      <c r="A25" s="5">
        <v>12</v>
      </c>
      <c r="B25" s="20"/>
      <c r="C25" s="18"/>
      <c r="D25" s="1"/>
      <c r="E25" s="1"/>
      <c r="F25" s="8" t="s">
        <v>21</v>
      </c>
      <c r="G25" s="8"/>
      <c r="H25" s="8"/>
      <c r="I25" s="8" t="s">
        <v>22</v>
      </c>
      <c r="J25" s="8"/>
      <c r="K25" s="8"/>
      <c r="L25" s="8" t="s">
        <v>23</v>
      </c>
      <c r="M25" s="8"/>
      <c r="N25" s="8"/>
      <c r="O25" s="8" t="s">
        <v>24</v>
      </c>
      <c r="P25" s="8"/>
      <c r="Q25" s="4"/>
      <c r="R25" s="4"/>
      <c r="S25" s="4"/>
    </row>
    <row r="26" spans="1:19" ht="14.1" customHeight="1" x14ac:dyDescent="0.2">
      <c r="A26" s="5">
        <v>13</v>
      </c>
      <c r="B26" s="20"/>
      <c r="C26" s="18" t="s">
        <v>25</v>
      </c>
      <c r="D26" s="1"/>
      <c r="E26" s="1"/>
      <c r="F26" s="8" t="s">
        <v>26</v>
      </c>
      <c r="G26" s="8"/>
      <c r="H26" s="8"/>
      <c r="I26" s="8" t="s">
        <v>27</v>
      </c>
      <c r="J26" s="8"/>
      <c r="K26" s="8"/>
      <c r="L26" s="8" t="s">
        <v>28</v>
      </c>
      <c r="M26" s="8"/>
      <c r="N26" s="8"/>
      <c r="O26" s="8" t="s">
        <v>29</v>
      </c>
      <c r="P26" s="8"/>
      <c r="Q26" s="4"/>
      <c r="R26" s="4"/>
      <c r="S26" s="4"/>
    </row>
    <row r="27" spans="1:19" ht="14.1" customHeight="1" x14ac:dyDescent="0.2">
      <c r="A27" s="5">
        <v>14</v>
      </c>
      <c r="B27" s="121"/>
      <c r="C27" s="125"/>
      <c r="D27" s="126"/>
      <c r="E27" s="126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4"/>
      <c r="R27" s="124"/>
      <c r="S27" s="124"/>
    </row>
    <row r="28" spans="1:19" ht="14.1" customHeight="1" x14ac:dyDescent="0.2">
      <c r="A28" s="5">
        <v>15</v>
      </c>
      <c r="B28" s="20"/>
      <c r="C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4.1" customHeight="1" x14ac:dyDescent="0.2">
      <c r="A29" s="5">
        <v>16</v>
      </c>
      <c r="B29" s="20"/>
      <c r="C29" s="3" t="s">
        <v>30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4.1" customHeight="1" x14ac:dyDescent="0.2">
      <c r="A30" s="5">
        <v>17</v>
      </c>
      <c r="B30" s="20"/>
      <c r="C30" s="3"/>
      <c r="F30" s="4"/>
      <c r="G30" s="4"/>
      <c r="H30" s="4"/>
      <c r="I30" s="2"/>
      <c r="J30" s="6"/>
      <c r="K30" s="4"/>
      <c r="L30" s="6"/>
      <c r="M30" s="4"/>
      <c r="N30" s="4"/>
      <c r="O30" s="4"/>
      <c r="P30" s="4"/>
      <c r="Q30" s="4"/>
      <c r="R30" s="4"/>
      <c r="S30" s="4"/>
    </row>
    <row r="31" spans="1:19" ht="14.1" customHeight="1" x14ac:dyDescent="0.2">
      <c r="A31" s="5">
        <v>18</v>
      </c>
      <c r="B31" s="20"/>
      <c r="C31" s="3" t="s">
        <v>150</v>
      </c>
      <c r="F31" s="4" t="s">
        <v>32</v>
      </c>
      <c r="G31" s="4"/>
      <c r="H31" s="4"/>
      <c r="I31" s="2">
        <f>'2019 Pole Rental'!B25/1000</f>
        <v>359.74544999999989</v>
      </c>
      <c r="J31" s="6"/>
      <c r="K31" s="4"/>
      <c r="L31" s="6" t="s">
        <v>33</v>
      </c>
      <c r="M31" s="4"/>
      <c r="N31" s="4" t="s">
        <v>34</v>
      </c>
      <c r="O31" s="4"/>
      <c r="P31" s="4"/>
      <c r="Q31" s="4"/>
      <c r="R31" s="4"/>
      <c r="S31" s="4"/>
    </row>
    <row r="32" spans="1:19" ht="14.1" customHeight="1" x14ac:dyDescent="0.2">
      <c r="A32" s="5">
        <v>19</v>
      </c>
      <c r="B32" s="20"/>
      <c r="C32" s="3" t="s">
        <v>151</v>
      </c>
      <c r="F32" s="4" t="s">
        <v>32</v>
      </c>
      <c r="G32" s="4"/>
      <c r="H32" s="4"/>
      <c r="I32" s="2">
        <f>'2020 Pole Rental'!B26/1000</f>
        <v>339.97924</v>
      </c>
      <c r="J32" s="6"/>
      <c r="K32" s="4"/>
      <c r="L32" s="6" t="s">
        <v>33</v>
      </c>
      <c r="M32" s="4"/>
      <c r="N32" s="4" t="s">
        <v>34</v>
      </c>
      <c r="O32" s="4"/>
      <c r="P32" s="4"/>
      <c r="Q32" s="4"/>
      <c r="R32" s="4"/>
      <c r="S32" s="4"/>
    </row>
    <row r="33" spans="1:19" ht="14.1" customHeight="1" x14ac:dyDescent="0.2">
      <c r="A33" s="5">
        <v>20</v>
      </c>
      <c r="B33" s="20"/>
      <c r="R33" s="4"/>
      <c r="S33" s="4"/>
    </row>
    <row r="34" spans="1:19" ht="14.1" customHeight="1" x14ac:dyDescent="0.2">
      <c r="A34" s="5">
        <v>21</v>
      </c>
      <c r="B34" s="20"/>
      <c r="R34" s="4"/>
      <c r="S34" s="4"/>
    </row>
    <row r="35" spans="1:19" ht="14.1" customHeight="1" x14ac:dyDescent="0.2">
      <c r="A35" s="5">
        <v>22</v>
      </c>
      <c r="B35" s="20"/>
      <c r="R35" s="4"/>
      <c r="S35" s="4"/>
    </row>
    <row r="36" spans="1:19" ht="14.1" customHeight="1" x14ac:dyDescent="0.2">
      <c r="A36" s="5">
        <v>23</v>
      </c>
      <c r="B36" s="20"/>
      <c r="C36" s="3" t="s">
        <v>38</v>
      </c>
      <c r="F36" s="2">
        <f>37370675/1000</f>
        <v>37370.675000000003</v>
      </c>
      <c r="G36" s="4"/>
      <c r="H36" s="4"/>
      <c r="I36" s="2" t="e">
        <f>#REF!/1000</f>
        <v>#REF!</v>
      </c>
      <c r="J36" s="4" t="s">
        <v>39</v>
      </c>
      <c r="K36" s="4"/>
      <c r="L36" s="4" t="s">
        <v>40</v>
      </c>
      <c r="M36" s="4"/>
      <c r="N36" s="5" t="s">
        <v>41</v>
      </c>
      <c r="O36" s="4"/>
      <c r="P36" s="4"/>
      <c r="Q36" s="4"/>
      <c r="R36" s="4"/>
      <c r="S36" s="4"/>
    </row>
    <row r="37" spans="1:19" ht="14.1" customHeight="1" x14ac:dyDescent="0.2">
      <c r="A37" s="5">
        <v>24</v>
      </c>
      <c r="B37" s="20"/>
      <c r="C37" s="3" t="s">
        <v>42</v>
      </c>
      <c r="F37" s="4"/>
      <c r="G37" s="4"/>
      <c r="H37" s="4"/>
      <c r="I37" s="4"/>
      <c r="J37" s="4"/>
      <c r="K37" s="4"/>
      <c r="L37" s="4"/>
      <c r="M37" s="4"/>
      <c r="N37" s="5" t="s">
        <v>153</v>
      </c>
      <c r="O37" s="4"/>
      <c r="P37" s="4"/>
      <c r="Q37" s="4"/>
      <c r="R37" s="4"/>
      <c r="S37" s="4"/>
    </row>
    <row r="38" spans="1:19" ht="14.1" customHeight="1" x14ac:dyDescent="0.2">
      <c r="A38" s="5">
        <v>25</v>
      </c>
      <c r="B38" s="20"/>
      <c r="C38" s="3"/>
      <c r="F38" s="4"/>
      <c r="G38" s="4"/>
      <c r="H38" s="4"/>
      <c r="I38" s="4"/>
      <c r="J38" s="4"/>
      <c r="K38" s="4"/>
      <c r="L38" s="4"/>
      <c r="M38" s="4"/>
      <c r="N38" s="5" t="s">
        <v>43</v>
      </c>
      <c r="O38" s="4"/>
      <c r="P38" s="4"/>
      <c r="Q38" s="4"/>
      <c r="R38" s="4"/>
      <c r="S38" s="4"/>
    </row>
    <row r="39" spans="1:19" ht="14.1" customHeight="1" x14ac:dyDescent="0.2">
      <c r="A39" s="5">
        <v>26</v>
      </c>
      <c r="B39" s="20"/>
      <c r="C39" s="3" t="s">
        <v>154</v>
      </c>
      <c r="F39" s="4"/>
      <c r="G39" s="4"/>
      <c r="H39" s="4"/>
      <c r="I39" s="4"/>
      <c r="J39" s="4"/>
      <c r="K39" s="4"/>
      <c r="L39" s="4"/>
      <c r="M39" s="4"/>
      <c r="N39" s="5" t="s">
        <v>45</v>
      </c>
      <c r="O39" s="4"/>
      <c r="P39" s="4"/>
      <c r="Q39" s="4"/>
      <c r="R39" s="4"/>
      <c r="S39" s="4"/>
    </row>
    <row r="40" spans="1:19" ht="14.1" customHeight="1" x14ac:dyDescent="0.2">
      <c r="A40" s="5">
        <v>27</v>
      </c>
      <c r="B40" s="20"/>
      <c r="C40" s="3" t="s">
        <v>46</v>
      </c>
      <c r="F40" s="4"/>
      <c r="G40" s="8"/>
      <c r="H40" s="4"/>
      <c r="I40" s="4"/>
      <c r="J40" s="6"/>
      <c r="K40" s="4"/>
      <c r="L40" s="6"/>
      <c r="M40" s="4"/>
      <c r="O40" s="4"/>
      <c r="P40" s="4"/>
      <c r="Q40" s="4"/>
      <c r="R40" s="4"/>
      <c r="S40" s="4"/>
    </row>
    <row r="41" spans="1:19" ht="14.1" customHeight="1" x14ac:dyDescent="0.2">
      <c r="A41" s="5">
        <v>28</v>
      </c>
      <c r="B41" s="20"/>
      <c r="C41" s="3"/>
      <c r="F41" s="4"/>
      <c r="G41" s="4"/>
      <c r="H41" s="4"/>
      <c r="I41" s="4"/>
      <c r="J41" s="6"/>
      <c r="K41" s="4"/>
      <c r="L41" s="6"/>
      <c r="M41" s="4"/>
      <c r="N41" s="4" t="s">
        <v>47</v>
      </c>
      <c r="O41" s="4"/>
      <c r="P41" s="4"/>
      <c r="Q41" s="4"/>
      <c r="R41" s="4"/>
      <c r="S41" s="4"/>
    </row>
    <row r="42" spans="1:19" ht="14.1" customHeight="1" x14ac:dyDescent="0.2">
      <c r="A42" s="5">
        <v>32</v>
      </c>
      <c r="B42" s="21"/>
      <c r="C42" s="3"/>
      <c r="F42" s="4"/>
      <c r="G42" s="4"/>
      <c r="H42" s="4"/>
      <c r="I42" s="4"/>
      <c r="J42" s="6"/>
      <c r="K42" s="4"/>
      <c r="L42" s="6"/>
      <c r="M42" s="4"/>
      <c r="O42" s="4"/>
      <c r="P42" s="4"/>
      <c r="Q42" s="4"/>
      <c r="R42" s="4"/>
      <c r="S42" s="4"/>
    </row>
    <row r="43" spans="1:19" ht="14.1" customHeight="1" x14ac:dyDescent="0.2">
      <c r="A43" s="5">
        <v>33</v>
      </c>
      <c r="B43" s="20"/>
      <c r="C43" s="3" t="s">
        <v>48</v>
      </c>
      <c r="F43" s="4"/>
      <c r="G43" s="4"/>
      <c r="H43" s="4"/>
      <c r="I43" s="4" t="e">
        <f>#REF!/1000</f>
        <v>#REF!</v>
      </c>
      <c r="J43" s="6" t="s">
        <v>39</v>
      </c>
      <c r="K43" s="4"/>
      <c r="L43" s="6"/>
      <c r="M43" s="4"/>
      <c r="N43" s="4" t="s">
        <v>155</v>
      </c>
      <c r="O43" s="4"/>
      <c r="P43" s="4"/>
      <c r="Q43" s="4"/>
      <c r="R43" s="4"/>
      <c r="S43" s="4"/>
    </row>
    <row r="44" spans="1:19" ht="14.1" customHeight="1" x14ac:dyDescent="0.2">
      <c r="A44" s="5">
        <v>34</v>
      </c>
      <c r="B44" s="20"/>
      <c r="C44" s="3" t="s">
        <v>51</v>
      </c>
      <c r="F44" s="4"/>
      <c r="G44" s="4"/>
      <c r="H44" s="4"/>
      <c r="I44" s="4"/>
      <c r="J44" s="6"/>
      <c r="K44" s="4"/>
      <c r="L44" s="6"/>
      <c r="M44" s="4"/>
      <c r="N44" s="5" t="s">
        <v>43</v>
      </c>
      <c r="O44" s="4"/>
      <c r="P44" s="4"/>
      <c r="Q44" s="4"/>
      <c r="R44" s="4"/>
      <c r="S44" s="4"/>
    </row>
    <row r="45" spans="1:19" ht="14.1" customHeight="1" x14ac:dyDescent="0.2">
      <c r="A45" s="5">
        <v>35</v>
      </c>
      <c r="B45" s="20"/>
      <c r="C45" s="3" t="s">
        <v>154</v>
      </c>
      <c r="F45" s="4"/>
      <c r="G45" s="4"/>
      <c r="H45" s="4"/>
      <c r="I45" s="4"/>
      <c r="J45" s="6"/>
      <c r="K45" s="4"/>
      <c r="L45" s="6"/>
      <c r="M45" s="4"/>
      <c r="N45" s="5" t="s">
        <v>45</v>
      </c>
      <c r="O45" s="4"/>
      <c r="P45" s="4"/>
      <c r="Q45" s="4"/>
      <c r="R45" s="4"/>
      <c r="S45" s="4"/>
    </row>
    <row r="46" spans="1:19" ht="14.1" customHeight="1" x14ac:dyDescent="0.2">
      <c r="A46" s="5">
        <v>36</v>
      </c>
      <c r="B46" s="20"/>
      <c r="C46" s="3" t="s">
        <v>156</v>
      </c>
      <c r="F46" s="4"/>
      <c r="G46" s="4"/>
      <c r="H46" s="4"/>
      <c r="I46" s="4"/>
      <c r="J46" s="6"/>
      <c r="K46" s="4"/>
      <c r="L46" s="6"/>
      <c r="M46" s="4"/>
      <c r="O46" s="4"/>
      <c r="P46" s="4"/>
      <c r="Q46" s="4"/>
      <c r="R46" s="4"/>
      <c r="S46" s="4"/>
    </row>
    <row r="47" spans="1:19" ht="14.1" customHeight="1" x14ac:dyDescent="0.2">
      <c r="A47" s="5">
        <v>37</v>
      </c>
      <c r="B47" s="20"/>
      <c r="C47" s="3"/>
      <c r="F47" s="4"/>
      <c r="G47" s="4"/>
      <c r="H47" s="4"/>
      <c r="I47" s="4"/>
      <c r="J47" s="6"/>
      <c r="K47" s="4"/>
      <c r="L47" s="6"/>
      <c r="M47" s="4"/>
      <c r="O47" s="4"/>
      <c r="P47" s="4"/>
      <c r="Q47" s="4"/>
      <c r="R47" s="4"/>
      <c r="S47" s="4"/>
    </row>
    <row r="48" spans="1:19" ht="14.1" customHeight="1" x14ac:dyDescent="0.2">
      <c r="A48" s="5">
        <v>38</v>
      </c>
      <c r="B48" s="20"/>
      <c r="C48" s="3" t="s">
        <v>48</v>
      </c>
      <c r="F48" s="4"/>
      <c r="G48" s="4"/>
      <c r="H48" s="4"/>
      <c r="I48" s="4" t="e">
        <f>#REF!/1000</f>
        <v>#REF!</v>
      </c>
      <c r="J48" s="6" t="s">
        <v>39</v>
      </c>
      <c r="K48" s="4"/>
      <c r="L48" s="6"/>
      <c r="M48" s="4"/>
      <c r="N48" s="4" t="s">
        <v>157</v>
      </c>
      <c r="O48" s="4"/>
      <c r="P48" s="4"/>
      <c r="Q48" s="4"/>
      <c r="R48" s="4"/>
      <c r="S48" s="4"/>
    </row>
    <row r="49" spans="1:19" ht="14.1" customHeight="1" x14ac:dyDescent="0.2">
      <c r="A49" s="5">
        <v>39</v>
      </c>
      <c r="B49" s="20"/>
      <c r="C49" s="3" t="s">
        <v>55</v>
      </c>
      <c r="F49" s="4"/>
      <c r="G49" s="4"/>
      <c r="H49" s="4"/>
      <c r="I49" s="4"/>
      <c r="J49" s="6"/>
      <c r="K49" s="4"/>
      <c r="L49" s="6"/>
      <c r="M49" s="4"/>
      <c r="N49" s="5" t="s">
        <v>43</v>
      </c>
      <c r="O49" s="4"/>
      <c r="P49" s="4"/>
      <c r="Q49" s="4"/>
      <c r="R49" s="4"/>
      <c r="S49" s="4"/>
    </row>
    <row r="50" spans="1:19" ht="14.1" customHeight="1" x14ac:dyDescent="0.2">
      <c r="A50" s="5">
        <v>40</v>
      </c>
      <c r="B50" s="20"/>
      <c r="C50" s="3" t="s">
        <v>154</v>
      </c>
      <c r="F50" s="4"/>
      <c r="G50" s="4"/>
      <c r="H50" s="4"/>
      <c r="I50" s="4"/>
      <c r="J50" s="6"/>
      <c r="K50" s="4"/>
      <c r="L50" s="6"/>
      <c r="M50" s="4"/>
      <c r="N50" s="5" t="s">
        <v>45</v>
      </c>
      <c r="O50" s="4"/>
      <c r="P50" s="4"/>
      <c r="Q50" s="4"/>
      <c r="R50" s="4"/>
      <c r="S50" s="4"/>
    </row>
    <row r="51" spans="1:19" ht="14.1" customHeight="1" x14ac:dyDescent="0.2">
      <c r="A51" s="5">
        <v>41</v>
      </c>
      <c r="B51" s="20"/>
      <c r="C51" s="3" t="s">
        <v>156</v>
      </c>
      <c r="F51" s="4"/>
      <c r="G51" s="4"/>
      <c r="H51" s="4"/>
      <c r="I51" s="4"/>
      <c r="J51" s="6"/>
      <c r="K51" s="4"/>
      <c r="L51" s="6"/>
      <c r="M51" s="4"/>
      <c r="N51" s="4"/>
      <c r="O51" s="4"/>
      <c r="P51" s="4"/>
      <c r="Q51" s="4"/>
      <c r="R51" s="4"/>
      <c r="S51" s="4"/>
    </row>
    <row r="52" spans="1:19" ht="14.1" customHeight="1" x14ac:dyDescent="0.2">
      <c r="A52" s="5">
        <v>42</v>
      </c>
      <c r="B52" s="20"/>
      <c r="C52" s="3"/>
      <c r="F52" s="4"/>
      <c r="G52" s="4"/>
      <c r="H52" s="4"/>
      <c r="I52" s="4"/>
      <c r="J52" s="6"/>
      <c r="K52" s="4"/>
      <c r="L52" s="6"/>
      <c r="M52" s="4"/>
      <c r="N52" s="4"/>
      <c r="O52" s="4"/>
      <c r="P52" s="4"/>
      <c r="Q52" s="4"/>
      <c r="R52" s="4"/>
      <c r="S52" s="4"/>
    </row>
    <row r="53" spans="1:19" ht="14.1" customHeight="1" x14ac:dyDescent="0.2">
      <c r="A53" s="5">
        <v>43</v>
      </c>
      <c r="B53" s="20"/>
      <c r="C53" s="3"/>
      <c r="F53" s="4"/>
      <c r="G53" s="4"/>
      <c r="H53" s="4"/>
      <c r="I53" s="4"/>
      <c r="J53" s="6"/>
      <c r="K53" s="4"/>
      <c r="L53" s="6"/>
      <c r="M53" s="4"/>
      <c r="N53" s="4"/>
      <c r="O53" s="4"/>
      <c r="P53" s="4"/>
      <c r="Q53" s="4"/>
      <c r="R53" s="4"/>
      <c r="S53" s="4"/>
    </row>
    <row r="54" spans="1:19" ht="14.1" customHeight="1" x14ac:dyDescent="0.2">
      <c r="A54" s="5">
        <v>44</v>
      </c>
      <c r="B54" s="20"/>
      <c r="C54" s="3"/>
      <c r="F54" s="4"/>
      <c r="G54" s="4"/>
      <c r="H54" s="4"/>
      <c r="I54" s="4"/>
      <c r="J54" s="6"/>
      <c r="K54" s="4"/>
      <c r="L54" s="6"/>
      <c r="M54" s="4"/>
      <c r="N54" s="4"/>
      <c r="O54" s="4"/>
      <c r="P54" s="4"/>
      <c r="Q54" s="4"/>
      <c r="R54" s="4"/>
      <c r="S54" s="4"/>
    </row>
    <row r="55" spans="1:19" ht="14.1" customHeight="1" x14ac:dyDescent="0.2">
      <c r="A55" s="5">
        <v>45</v>
      </c>
      <c r="B55" s="20"/>
      <c r="C55" s="3"/>
      <c r="F55" s="4"/>
      <c r="G55" s="4"/>
      <c r="H55" s="4"/>
      <c r="I55" s="4"/>
      <c r="J55" s="6"/>
      <c r="K55" s="4"/>
      <c r="L55" s="6"/>
      <c r="M55" s="4"/>
      <c r="N55" s="4"/>
      <c r="O55" s="4"/>
      <c r="P55" s="4"/>
      <c r="Q55" s="4"/>
      <c r="R55" s="4"/>
      <c r="S55" s="4"/>
    </row>
    <row r="56" spans="1:19" ht="14.1" customHeight="1" x14ac:dyDescent="0.2">
      <c r="A56" s="5">
        <v>46</v>
      </c>
      <c r="B56" s="20"/>
      <c r="C56" s="3"/>
      <c r="F56" s="4"/>
      <c r="G56" s="4"/>
      <c r="H56" s="4"/>
      <c r="I56" s="4"/>
      <c r="J56" s="6"/>
      <c r="K56" s="4"/>
      <c r="L56" s="6"/>
      <c r="M56" s="4"/>
      <c r="N56" s="4"/>
      <c r="O56" s="4"/>
      <c r="P56" s="4"/>
      <c r="Q56" s="4"/>
      <c r="R56" s="4"/>
      <c r="S56" s="4"/>
    </row>
    <row r="57" spans="1:19" ht="14.1" customHeight="1" x14ac:dyDescent="0.2">
      <c r="A57" s="5">
        <v>47</v>
      </c>
      <c r="B57" s="20"/>
      <c r="C57" s="3"/>
      <c r="F57" s="4"/>
      <c r="G57" s="4"/>
      <c r="H57" s="4"/>
      <c r="I57" s="4"/>
      <c r="J57" s="6"/>
      <c r="K57" s="4"/>
      <c r="L57" s="6"/>
      <c r="M57" s="4"/>
      <c r="N57" s="4"/>
      <c r="O57" s="4"/>
      <c r="P57" s="4"/>
      <c r="Q57" s="4"/>
      <c r="R57" s="4"/>
      <c r="S57" s="4"/>
    </row>
    <row r="58" spans="1:19" ht="14.1" customHeight="1" x14ac:dyDescent="0.2">
      <c r="A58" s="5">
        <v>48</v>
      </c>
      <c r="B58" s="20"/>
      <c r="C58" s="3"/>
      <c r="F58" s="4"/>
      <c r="G58" s="4"/>
      <c r="H58" s="4"/>
      <c r="I58" s="4"/>
      <c r="J58" s="6"/>
      <c r="K58" s="4"/>
      <c r="L58" s="6"/>
      <c r="M58" s="4"/>
      <c r="N58" s="4"/>
      <c r="O58" s="4"/>
      <c r="P58" s="4"/>
      <c r="Q58" s="4"/>
      <c r="R58" s="4"/>
      <c r="S58" s="4"/>
    </row>
    <row r="59" spans="1:19" ht="14.1" customHeight="1" x14ac:dyDescent="0.2">
      <c r="A59" s="5">
        <v>49</v>
      </c>
      <c r="B59" s="20"/>
      <c r="C59" s="3"/>
      <c r="F59" s="4"/>
      <c r="G59" s="4"/>
      <c r="H59" s="4"/>
      <c r="I59" s="4"/>
      <c r="J59" s="6"/>
      <c r="K59" s="4"/>
      <c r="L59" s="6"/>
      <c r="M59" s="4"/>
      <c r="N59" s="4"/>
      <c r="O59" s="4"/>
      <c r="P59" s="4"/>
      <c r="Q59" s="4"/>
      <c r="R59" s="4"/>
      <c r="S59" s="4"/>
    </row>
    <row r="60" spans="1:19" ht="14.1" customHeight="1" x14ac:dyDescent="0.2">
      <c r="A60" s="5">
        <v>50</v>
      </c>
      <c r="B60" s="20"/>
      <c r="C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4.1" customHeight="1" thickBot="1" x14ac:dyDescent="0.25">
      <c r="A61" s="5">
        <v>51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4.1" customHeight="1" x14ac:dyDescent="0.2">
      <c r="A62" s="5" t="s">
        <v>62</v>
      </c>
      <c r="Q62" s="5" t="s">
        <v>63</v>
      </c>
    </row>
  </sheetData>
  <phoneticPr fontId="10" type="noConversion"/>
  <printOptions horizontalCentered="1" verticalCentered="1"/>
  <pageMargins left="0.5" right="0.5" top="0.75" bottom="0.35" header="0.5" footer="0.25"/>
  <pageSetup scale="77" orientation="landscape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opLeftCell="A4" workbookViewId="0">
      <selection activeCell="M18" sqref="M18"/>
    </sheetView>
  </sheetViews>
  <sheetFormatPr defaultRowHeight="13.2" x14ac:dyDescent="0.25"/>
  <cols>
    <col min="2" max="2" width="31.88671875" customWidth="1"/>
    <col min="11" max="11" width="10.6640625" bestFit="1" customWidth="1"/>
  </cols>
  <sheetData>
    <row r="1" spans="1:16" ht="17.399999999999999" x14ac:dyDescent="0.3">
      <c r="A1" s="24"/>
      <c r="B1" s="47" t="s">
        <v>229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.6" x14ac:dyDescent="0.3">
      <c r="A2" s="46" t="s">
        <v>230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3.8" x14ac:dyDescent="0.25">
      <c r="A3" s="40" t="s">
        <v>231</v>
      </c>
      <c r="B3" s="45">
        <v>43465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3.8" x14ac:dyDescent="0.25">
      <c r="A4" s="40" t="s">
        <v>232</v>
      </c>
      <c r="B4" s="39" t="s">
        <v>233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3.8" x14ac:dyDescent="0.25">
      <c r="A5" s="40" t="s">
        <v>234</v>
      </c>
      <c r="B5" s="44" t="s">
        <v>235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3.8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43"/>
      <c r="N6" s="43"/>
      <c r="O6" s="42"/>
      <c r="P6" s="42"/>
    </row>
    <row r="7" spans="1:16" ht="13.8" x14ac:dyDescent="0.25">
      <c r="A7" s="40"/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7.399999999999999" x14ac:dyDescent="0.3">
      <c r="A8" s="40"/>
      <c r="B8" s="41" t="s">
        <v>236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3.8" x14ac:dyDescent="0.25">
      <c r="A9" s="40"/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13.8" x14ac:dyDescent="0.25">
      <c r="A10" s="38"/>
      <c r="B10" s="617" t="s">
        <v>237</v>
      </c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</row>
    <row r="11" spans="1:16" ht="13.8" x14ac:dyDescent="0.25">
      <c r="A11" s="3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3.8" x14ac:dyDescent="0.25">
      <c r="A12" s="3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ht="13.8" x14ac:dyDescent="0.25">
      <c r="A13" s="3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ht="24.6" thickBot="1" x14ac:dyDescent="0.3">
      <c r="A14" s="24"/>
      <c r="B14" s="36"/>
      <c r="C14" s="36">
        <v>2019</v>
      </c>
      <c r="D14" s="36"/>
      <c r="E14" s="36">
        <v>2020</v>
      </c>
      <c r="F14" s="36"/>
      <c r="G14" s="36">
        <v>2021</v>
      </c>
      <c r="H14" s="36"/>
      <c r="I14" s="36">
        <v>2022</v>
      </c>
      <c r="J14" s="36"/>
      <c r="K14" s="36">
        <v>2023</v>
      </c>
      <c r="L14" s="36"/>
      <c r="M14" s="128" t="s">
        <v>90</v>
      </c>
      <c r="N14" s="128"/>
      <c r="O14" s="128" t="s">
        <v>15</v>
      </c>
      <c r="P14" s="128"/>
    </row>
    <row r="15" spans="1:16" x14ac:dyDescent="0.25">
      <c r="A15" s="24"/>
      <c r="B15" s="35"/>
      <c r="C15" s="33"/>
      <c r="D15" s="34"/>
      <c r="E15" s="33"/>
      <c r="F15" s="34"/>
      <c r="G15" s="33"/>
      <c r="H15" s="34"/>
      <c r="I15" s="33"/>
      <c r="J15" s="34"/>
      <c r="K15" s="34"/>
      <c r="L15" s="34"/>
      <c r="M15" s="33"/>
      <c r="N15" s="32" t="s">
        <v>105</v>
      </c>
      <c r="O15" s="31">
        <f>SUM(C15:M15)</f>
        <v>0</v>
      </c>
      <c r="P15" s="24"/>
    </row>
    <row r="16" spans="1:16" x14ac:dyDescent="0.25">
      <c r="A16" s="24"/>
      <c r="B16" s="35"/>
      <c r="C16" s="33"/>
      <c r="D16" s="34"/>
      <c r="E16" s="33"/>
      <c r="F16" s="34"/>
      <c r="G16" s="33"/>
      <c r="H16" s="34"/>
      <c r="I16" s="33"/>
      <c r="J16" s="34"/>
      <c r="K16" s="34"/>
      <c r="L16" s="34"/>
      <c r="M16" s="33"/>
      <c r="N16" s="32"/>
      <c r="O16" s="31"/>
      <c r="P16" s="24"/>
    </row>
    <row r="17" spans="1:16" ht="13.8" x14ac:dyDescent="0.3">
      <c r="A17" s="28"/>
      <c r="B17" s="30" t="s">
        <v>238</v>
      </c>
      <c r="C17" s="29">
        <v>1.911832</v>
      </c>
      <c r="D17" s="29"/>
      <c r="E17" s="29">
        <v>1.93573</v>
      </c>
      <c r="F17" s="29"/>
      <c r="G17" s="29">
        <v>2.0074230000000002</v>
      </c>
      <c r="H17" s="29"/>
      <c r="I17" s="29">
        <v>2.0074230000000002</v>
      </c>
      <c r="J17" s="29"/>
      <c r="K17" s="29">
        <v>2.0074230000000002</v>
      </c>
      <c r="L17" s="29"/>
      <c r="M17" s="29">
        <v>3.5129899999999998</v>
      </c>
      <c r="N17" s="29"/>
      <c r="O17" s="29">
        <f>SUM(C17:N17)</f>
        <v>13.382821000000002</v>
      </c>
      <c r="P17" s="22"/>
    </row>
    <row r="18" spans="1:16" ht="13.8" x14ac:dyDescent="0.3">
      <c r="A18" s="28"/>
      <c r="B18" s="30" t="s">
        <v>239</v>
      </c>
      <c r="C18" s="29">
        <v>0.15798899999999999</v>
      </c>
      <c r="D18" s="29"/>
      <c r="E18" s="29">
        <v>0.15798899999999999</v>
      </c>
      <c r="F18" s="29"/>
      <c r="G18" s="29">
        <v>0.15798899999999999</v>
      </c>
      <c r="H18" s="29"/>
      <c r="I18" s="29">
        <v>0.175763</v>
      </c>
      <c r="J18" s="29"/>
      <c r="K18" s="29">
        <v>0.18168799999999999</v>
      </c>
      <c r="L18" s="29"/>
      <c r="M18" s="29">
        <v>29.916575999999999</v>
      </c>
      <c r="N18" s="29"/>
      <c r="O18" s="29">
        <f>SUM(C18:N18)</f>
        <v>30.747993999999998</v>
      </c>
      <c r="P18" s="22"/>
    </row>
    <row r="19" spans="1:16" ht="13.8" x14ac:dyDescent="0.25">
      <c r="A19" s="28"/>
      <c r="B19" s="27" t="s">
        <v>240</v>
      </c>
      <c r="C19" s="26">
        <f t="shared" ref="C19:N19" si="0">SUM(C17:C18)</f>
        <v>2.0698210000000001</v>
      </c>
      <c r="D19" s="26">
        <f t="shared" si="0"/>
        <v>0</v>
      </c>
      <c r="E19" s="26">
        <f t="shared" si="0"/>
        <v>2.0937190000000001</v>
      </c>
      <c r="F19" s="26">
        <f t="shared" si="0"/>
        <v>0</v>
      </c>
      <c r="G19" s="26">
        <f t="shared" si="0"/>
        <v>2.1654120000000003</v>
      </c>
      <c r="H19" s="26">
        <f t="shared" si="0"/>
        <v>0</v>
      </c>
      <c r="I19" s="26">
        <f t="shared" si="0"/>
        <v>2.1831860000000001</v>
      </c>
      <c r="J19" s="26">
        <f t="shared" si="0"/>
        <v>0</v>
      </c>
      <c r="K19" s="26">
        <f t="shared" si="0"/>
        <v>2.189111</v>
      </c>
      <c r="L19" s="26">
        <f t="shared" si="0"/>
        <v>0</v>
      </c>
      <c r="M19" s="26">
        <f t="shared" si="0"/>
        <v>33.429566000000001</v>
      </c>
      <c r="N19" s="26">
        <f t="shared" si="0"/>
        <v>0</v>
      </c>
      <c r="O19" s="26">
        <f>SUM(C19:N19)</f>
        <v>44.130814999999998</v>
      </c>
      <c r="P19" s="25"/>
    </row>
    <row r="20" spans="1:16" ht="14.4" x14ac:dyDescent="0.3">
      <c r="A20" s="2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2"/>
    </row>
  </sheetData>
  <mergeCells count="1">
    <mergeCell ref="B10:P1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25"/>
  <sheetViews>
    <sheetView topLeftCell="A40" workbookViewId="0">
      <selection activeCell="C25" sqref="C25"/>
    </sheetView>
  </sheetViews>
  <sheetFormatPr defaultRowHeight="13.2" x14ac:dyDescent="0.25"/>
  <cols>
    <col min="2" max="2" width="13.109375" style="120" bestFit="1" customWidth="1"/>
  </cols>
  <sheetData>
    <row r="1" spans="2:3" x14ac:dyDescent="0.25">
      <c r="B1" s="120">
        <v>26818.45</v>
      </c>
      <c r="C1" s="618" t="s">
        <v>241</v>
      </c>
    </row>
    <row r="2" spans="2:3" x14ac:dyDescent="0.25">
      <c r="B2" s="120">
        <v>26818.45</v>
      </c>
      <c r="C2" s="619"/>
    </row>
    <row r="3" spans="2:3" x14ac:dyDescent="0.25">
      <c r="B3" s="120">
        <v>27356.799999999999</v>
      </c>
      <c r="C3" s="618" t="s">
        <v>242</v>
      </c>
    </row>
    <row r="4" spans="2:3" x14ac:dyDescent="0.25">
      <c r="B4" s="120">
        <v>471.25</v>
      </c>
      <c r="C4" s="619"/>
    </row>
    <row r="5" spans="2:3" x14ac:dyDescent="0.25">
      <c r="B5" s="120">
        <v>471.25</v>
      </c>
      <c r="C5" s="618" t="s">
        <v>243</v>
      </c>
    </row>
    <row r="6" spans="2:3" x14ac:dyDescent="0.25">
      <c r="B6" s="120">
        <v>27356.799999999999</v>
      </c>
      <c r="C6" s="619"/>
    </row>
    <row r="7" spans="2:3" x14ac:dyDescent="0.25">
      <c r="B7" s="120">
        <v>471.25</v>
      </c>
      <c r="C7" s="618" t="s">
        <v>244</v>
      </c>
    </row>
    <row r="8" spans="2:3" x14ac:dyDescent="0.25">
      <c r="B8" s="120">
        <v>27356.799999999999</v>
      </c>
      <c r="C8" s="619"/>
    </row>
    <row r="9" spans="2:3" x14ac:dyDescent="0.25">
      <c r="B9" s="120">
        <v>471.25</v>
      </c>
      <c r="C9" s="618" t="s">
        <v>245</v>
      </c>
    </row>
    <row r="10" spans="2:3" x14ac:dyDescent="0.25">
      <c r="B10" s="120">
        <v>27356.799999999999</v>
      </c>
      <c r="C10" s="619"/>
    </row>
    <row r="11" spans="2:3" x14ac:dyDescent="0.25">
      <c r="B11" s="120">
        <v>471.25</v>
      </c>
      <c r="C11" s="618" t="s">
        <v>246</v>
      </c>
    </row>
    <row r="12" spans="2:3" x14ac:dyDescent="0.25">
      <c r="B12" s="120">
        <v>27356.799999999999</v>
      </c>
      <c r="C12" s="619"/>
    </row>
    <row r="13" spans="2:3" x14ac:dyDescent="0.25">
      <c r="B13" s="120">
        <v>27356.799999999999</v>
      </c>
      <c r="C13" s="618" t="s">
        <v>247</v>
      </c>
    </row>
    <row r="14" spans="2:3" x14ac:dyDescent="0.25">
      <c r="B14" s="120">
        <v>471.25</v>
      </c>
      <c r="C14" s="619"/>
    </row>
    <row r="15" spans="2:3" x14ac:dyDescent="0.25">
      <c r="B15" s="120">
        <v>471.25</v>
      </c>
      <c r="C15" s="618" t="s">
        <v>248</v>
      </c>
    </row>
    <row r="16" spans="2:3" x14ac:dyDescent="0.25">
      <c r="B16" s="120">
        <v>27356.799999999999</v>
      </c>
      <c r="C16" s="619"/>
    </row>
    <row r="17" spans="2:3" x14ac:dyDescent="0.25">
      <c r="B17" s="120">
        <v>471.25</v>
      </c>
      <c r="C17" s="618" t="s">
        <v>249</v>
      </c>
    </row>
    <row r="18" spans="2:3" x14ac:dyDescent="0.25">
      <c r="B18" s="120">
        <v>27356.799999999999</v>
      </c>
      <c r="C18" s="619"/>
    </row>
    <row r="19" spans="2:3" x14ac:dyDescent="0.25">
      <c r="B19" s="120">
        <v>471.25</v>
      </c>
      <c r="C19" s="618" t="s">
        <v>250</v>
      </c>
    </row>
    <row r="20" spans="2:3" x14ac:dyDescent="0.25">
      <c r="B20" s="120">
        <v>27356.799999999999</v>
      </c>
      <c r="C20" s="619"/>
    </row>
    <row r="21" spans="2:3" x14ac:dyDescent="0.25">
      <c r="B21" s="120">
        <v>471.25</v>
      </c>
      <c r="C21" s="618" t="s">
        <v>251</v>
      </c>
    </row>
    <row r="22" spans="2:3" x14ac:dyDescent="0.25">
      <c r="B22" s="120">
        <v>27356.799999999999</v>
      </c>
      <c r="C22" s="619"/>
    </row>
    <row r="23" spans="2:3" x14ac:dyDescent="0.25">
      <c r="B23" s="120">
        <v>471.25</v>
      </c>
      <c r="C23" s="618" t="s">
        <v>252</v>
      </c>
    </row>
    <row r="24" spans="2:3" x14ac:dyDescent="0.25">
      <c r="B24" s="120">
        <v>27356.799999999999</v>
      </c>
      <c r="C24" s="619"/>
    </row>
    <row r="25" spans="2:3" x14ac:dyDescent="0.25">
      <c r="B25" s="120">
        <f>SUM(B1:B24)</f>
        <v>359745.4499999999</v>
      </c>
      <c r="C25" s="28" t="s">
        <v>15</v>
      </c>
    </row>
  </sheetData>
  <mergeCells count="12">
    <mergeCell ref="C23:C24"/>
    <mergeCell ref="C1:C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26"/>
  <sheetViews>
    <sheetView workbookViewId="0">
      <selection activeCell="A501" sqref="A501"/>
    </sheetView>
  </sheetViews>
  <sheetFormatPr defaultRowHeight="13.2" x14ac:dyDescent="0.25"/>
  <cols>
    <col min="2" max="2" width="11.44140625" style="120" bestFit="1" customWidth="1"/>
  </cols>
  <sheetData>
    <row r="1" spans="2:3" x14ac:dyDescent="0.25">
      <c r="B1" s="120">
        <v>27356.799999999999</v>
      </c>
      <c r="C1" s="619" t="s">
        <v>241</v>
      </c>
    </row>
    <row r="2" spans="2:3" x14ac:dyDescent="0.25">
      <c r="B2" s="120">
        <v>471.25</v>
      </c>
      <c r="C2" s="619"/>
    </row>
    <row r="3" spans="2:3" x14ac:dyDescent="0.25">
      <c r="B3" s="120">
        <v>27906.13</v>
      </c>
      <c r="C3" s="618" t="s">
        <v>242</v>
      </c>
    </row>
    <row r="4" spans="2:3" x14ac:dyDescent="0.25">
      <c r="B4" s="120">
        <v>471.25</v>
      </c>
      <c r="C4" s="619"/>
    </row>
    <row r="5" spans="2:3" x14ac:dyDescent="0.25">
      <c r="B5" s="120">
        <v>471.25</v>
      </c>
      <c r="C5" s="618" t="s">
        <v>243</v>
      </c>
    </row>
    <row r="6" spans="2:3" x14ac:dyDescent="0.25">
      <c r="B6" s="120">
        <v>27906.13</v>
      </c>
      <c r="C6" s="619"/>
    </row>
    <row r="7" spans="2:3" x14ac:dyDescent="0.25">
      <c r="B7" s="120">
        <v>471.25</v>
      </c>
      <c r="C7" s="618" t="s">
        <v>244</v>
      </c>
    </row>
    <row r="8" spans="2:3" x14ac:dyDescent="0.25">
      <c r="B8" s="120">
        <v>27906.13</v>
      </c>
      <c r="C8" s="619"/>
    </row>
    <row r="9" spans="2:3" ht="13.2" customHeight="1" x14ac:dyDescent="0.25">
      <c r="B9" s="120">
        <v>471.25</v>
      </c>
      <c r="C9" s="618" t="s">
        <v>245</v>
      </c>
    </row>
    <row r="10" spans="2:3" x14ac:dyDescent="0.25">
      <c r="B10" s="120">
        <v>15813.48</v>
      </c>
      <c r="C10" s="618"/>
    </row>
    <row r="11" spans="2:3" x14ac:dyDescent="0.25">
      <c r="B11" s="120">
        <v>12092.66</v>
      </c>
      <c r="C11" s="618"/>
    </row>
    <row r="12" spans="2:3" x14ac:dyDescent="0.25">
      <c r="B12" s="120">
        <v>27906.13</v>
      </c>
      <c r="C12" s="618" t="s">
        <v>246</v>
      </c>
    </row>
    <row r="13" spans="2:3" x14ac:dyDescent="0.25">
      <c r="B13" s="120">
        <v>471.25</v>
      </c>
      <c r="C13" s="619"/>
    </row>
    <row r="14" spans="2:3" x14ac:dyDescent="0.25">
      <c r="B14" s="120">
        <v>27906.13</v>
      </c>
      <c r="C14" s="618" t="s">
        <v>247</v>
      </c>
    </row>
    <row r="15" spans="2:3" x14ac:dyDescent="0.25">
      <c r="B15" s="120">
        <v>471.25</v>
      </c>
      <c r="C15" s="619"/>
    </row>
    <row r="16" spans="2:3" x14ac:dyDescent="0.25">
      <c r="B16" s="120">
        <v>27906.13</v>
      </c>
      <c r="C16" s="618" t="s">
        <v>248</v>
      </c>
    </row>
    <row r="17" spans="2:3" x14ac:dyDescent="0.25">
      <c r="B17" s="120">
        <v>471.25</v>
      </c>
      <c r="C17" s="619"/>
    </row>
    <row r="18" spans="2:3" x14ac:dyDescent="0.25">
      <c r="B18" s="120">
        <v>27906.13</v>
      </c>
      <c r="C18" s="618" t="s">
        <v>253</v>
      </c>
    </row>
    <row r="19" spans="2:3" x14ac:dyDescent="0.25">
      <c r="B19" s="120">
        <v>471.25</v>
      </c>
      <c r="C19" s="619"/>
    </row>
    <row r="20" spans="2:3" x14ac:dyDescent="0.25">
      <c r="B20" s="120">
        <v>27906.13</v>
      </c>
      <c r="C20" s="618" t="s">
        <v>254</v>
      </c>
    </row>
    <row r="21" spans="2:3" x14ac:dyDescent="0.25">
      <c r="B21" s="120">
        <v>471.25</v>
      </c>
      <c r="C21" s="619"/>
    </row>
    <row r="22" spans="2:3" x14ac:dyDescent="0.25">
      <c r="B22" s="120">
        <v>27906.13</v>
      </c>
      <c r="C22" s="618" t="s">
        <v>255</v>
      </c>
    </row>
    <row r="23" spans="2:3" x14ac:dyDescent="0.25">
      <c r="B23" s="120">
        <v>471.25</v>
      </c>
      <c r="C23" s="619"/>
    </row>
    <row r="24" spans="2:3" x14ac:dyDescent="0.25">
      <c r="B24" s="120">
        <v>27906.13</v>
      </c>
      <c r="C24" s="618" t="s">
        <v>256</v>
      </c>
    </row>
    <row r="25" spans="2:3" x14ac:dyDescent="0.25">
      <c r="B25" s="120">
        <v>471.25</v>
      </c>
      <c r="C25" s="619"/>
    </row>
    <row r="26" spans="2:3" x14ac:dyDescent="0.25">
      <c r="B26" s="120">
        <f>SUM(B1:B25)</f>
        <v>339979.24</v>
      </c>
      <c r="C26" s="28" t="s">
        <v>15</v>
      </c>
    </row>
  </sheetData>
  <mergeCells count="12">
    <mergeCell ref="C1:C2"/>
    <mergeCell ref="C3:C4"/>
    <mergeCell ref="C5:C6"/>
    <mergeCell ref="C7:C8"/>
    <mergeCell ref="C20:C21"/>
    <mergeCell ref="C22:C23"/>
    <mergeCell ref="C24:C25"/>
    <mergeCell ref="C9:C11"/>
    <mergeCell ref="C12:C13"/>
    <mergeCell ref="C14:C15"/>
    <mergeCell ref="C16:C17"/>
    <mergeCell ref="C18:C1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E9F19-DC3A-4CB0-9D13-EDF7501EF659}">
  <ds:schemaRefs>
    <ds:schemaRef ds:uri="http://purl.org/dc/elements/1.1/"/>
    <ds:schemaRef ds:uri="http://purl.org/dc/terms/"/>
    <ds:schemaRef ds:uri="68f740ed-1bb5-4d6a-85fa-63caa26fe73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ca4cc0f-2bf6-41bc-a7e6-74f286fc5a70"/>
  </ds:schemaRefs>
</ds:datastoreItem>
</file>

<file path=customXml/itemProps2.xml><?xml version="1.0" encoding="utf-8"?>
<ds:datastoreItem xmlns:ds="http://schemas.openxmlformats.org/officeDocument/2006/customXml" ds:itemID="{C10C2D1F-5484-49C8-9A3A-5B1B26B5E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ED223-FC8E-416C-B9EA-A5EB53F667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B-24 2025</vt:lpstr>
      <vt:lpstr>Leases-lessee</vt:lpstr>
      <vt:lpstr>B-24 2021</vt:lpstr>
      <vt:lpstr>2021 TRIAL_BALANCE</vt:lpstr>
      <vt:lpstr>BALANCE_SHEET 2021</vt:lpstr>
      <vt:lpstr> B-24 2019</vt:lpstr>
      <vt:lpstr>Leases</vt:lpstr>
      <vt:lpstr>2019 Pole Rental</vt:lpstr>
      <vt:lpstr>2020 Pole Rental</vt:lpstr>
      <vt:lpstr>IS 2023 7+5F</vt:lpstr>
      <vt:lpstr>IS 2024B</vt:lpstr>
      <vt:lpstr>2025 TB</vt:lpstr>
      <vt:lpstr>Leases-lessee (2)</vt:lpstr>
      <vt:lpstr>Pole Attachments</vt:lpstr>
      <vt:lpstr>Leases-lessee--3</vt:lpstr>
      <vt:lpstr>'2021 TRIAL_BALANCE'!Print_Area</vt:lpstr>
      <vt:lpstr>'B-24 2025'!Print_Area</vt:lpstr>
      <vt:lpstr>'BALANCE_SHEET 2021'!Print_Area</vt:lpstr>
      <vt:lpstr>'Leases-lessee'!Print_Area</vt:lpstr>
      <vt:lpstr>'Leases-lessee (2)'!Print_Area</vt:lpstr>
      <vt:lpstr>'Leases-lessee--3'!Print_Area</vt:lpstr>
      <vt:lpstr>'Pole Attachments'!Print_Area</vt:lpstr>
      <vt:lpstr>'2021 TRIAL_BALANCE'!Print_Titles</vt:lpstr>
      <vt:lpstr>'BALANCE_SHEET 2021'!Print_Titles</vt:lpstr>
      <vt:lpstr>'2021 TRIAL_BALANCE'!SUPRESS</vt:lpstr>
      <vt:lpstr>SUPRESS</vt:lpstr>
      <vt:lpstr>'2021 TRIAL_BALANCE'!SUPRESS2</vt:lpstr>
      <vt:lpstr>SUPRESS2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Otero, Onixa</cp:lastModifiedBy>
  <cp:revision/>
  <cp:lastPrinted>2024-04-08T20:32:01Z</cp:lastPrinted>
  <dcterms:created xsi:type="dcterms:W3CDTF">2007-04-10T13:44:39Z</dcterms:created>
  <dcterms:modified xsi:type="dcterms:W3CDTF">2024-04-08T20:32:18Z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a83f872e-d8d7-43ac-9961-0f2ad31e50e5_Enabled">
    <vt:lpwstr>true</vt:lpwstr>
  </property>
  <property fmtid="{D5CDD505-2E9C-101B-9397-08002B2CF9AE}" pid="6" name="MSIP_Label_a83f872e-d8d7-43ac-9961-0f2ad31e50e5_SetDate">
    <vt:lpwstr>2023-10-18T01:36:05Z</vt:lpwstr>
  </property>
  <property fmtid="{D5CDD505-2E9C-101B-9397-08002B2CF9AE}" pid="7" name="MSIP_Label_a83f872e-d8d7-43ac-9961-0f2ad31e50e5_Method">
    <vt:lpwstr>Standard</vt:lpwstr>
  </property>
  <property fmtid="{D5CDD505-2E9C-101B-9397-08002B2CF9AE}" pid="8" name="MSIP_Label_a83f872e-d8d7-43ac-9961-0f2ad31e50e5_Name">
    <vt:lpwstr>a83f872e-d8d7-43ac-9961-0f2ad31e50e5</vt:lpwstr>
  </property>
  <property fmtid="{D5CDD505-2E9C-101B-9397-08002B2CF9AE}" pid="9" name="MSIP_Label_a83f872e-d8d7-43ac-9961-0f2ad31e50e5_SiteId">
    <vt:lpwstr>fa8c194a-f8e2-43c5-bc39-b637579e39e0</vt:lpwstr>
  </property>
  <property fmtid="{D5CDD505-2E9C-101B-9397-08002B2CF9AE}" pid="10" name="MSIP_Label_a83f872e-d8d7-43ac-9961-0f2ad31e50e5_ActionId">
    <vt:lpwstr>062f4722-5ccb-4ed1-a7cd-76e2a7884fd8</vt:lpwstr>
  </property>
  <property fmtid="{D5CDD505-2E9C-101B-9397-08002B2CF9AE}" pid="11" name="MSIP_Label_a83f872e-d8d7-43ac-9961-0f2ad31e50e5_ContentBits">
    <vt:lpwstr>0</vt:lpwstr>
  </property>
  <property fmtid="{D5CDD505-2E9C-101B-9397-08002B2CF9AE}" pid="12" name="Order">
    <vt:r8>765600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